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7935" tabRatio="761" firstSheet="1" activeTab="12"/>
  </bookViews>
  <sheets>
    <sheet name="Araria" sheetId="8" r:id="rId1"/>
    <sheet name="Arwal" sheetId="9" r:id="rId2"/>
    <sheet name="Aurangabad" sheetId="10" r:id="rId3"/>
    <sheet name="Banka" sheetId="11" r:id="rId4"/>
    <sheet name="Begusarai" sheetId="1" r:id="rId5"/>
    <sheet name="Bhagalpur" sheetId="13" r:id="rId6"/>
    <sheet name="Bhojpur" sheetId="14" r:id="rId7"/>
    <sheet name="Buxer" sheetId="15" r:id="rId8"/>
    <sheet name="Darbhanga" sheetId="6" r:id="rId9"/>
    <sheet name="East Champaran" sheetId="16" r:id="rId10"/>
    <sheet name="Gaya" sheetId="4" r:id="rId11"/>
    <sheet name="Gopalganj" sheetId="17" r:id="rId12"/>
    <sheet name="Jamui" sheetId="5" r:id="rId13"/>
    <sheet name="Jehanabad" sheetId="18" r:id="rId14"/>
    <sheet name="Kaimur" sheetId="19" r:id="rId15"/>
    <sheet name="Katihar" sheetId="20" r:id="rId16"/>
    <sheet name="Khagaria" sheetId="21" r:id="rId17"/>
    <sheet name="Kishanganj" sheetId="22" r:id="rId18"/>
    <sheet name="Lakhisarai" sheetId="23" r:id="rId19"/>
    <sheet name="Madhepura" sheetId="24" r:id="rId20"/>
    <sheet name="Madhubani" sheetId="25" r:id="rId21"/>
    <sheet name="Munger" sheetId="26" r:id="rId22"/>
    <sheet name="Muzafferpur" sheetId="27" r:id="rId23"/>
    <sheet name="Nalanda" sheetId="28" r:id="rId24"/>
    <sheet name="Nawada" sheetId="29" r:id="rId25"/>
    <sheet name="Patna (R)" sheetId="30" r:id="rId26"/>
    <sheet name="Patna (U)" sheetId="31" r:id="rId27"/>
    <sheet name="Purnia" sheetId="32" r:id="rId28"/>
    <sheet name="Rohtas" sheetId="33" r:id="rId29"/>
    <sheet name="Saharsa" sheetId="34" r:id="rId30"/>
    <sheet name="Samastipur" sheetId="35" r:id="rId31"/>
    <sheet name="Saran" sheetId="36" r:id="rId32"/>
    <sheet name="Sheikhpura" sheetId="37" r:id="rId33"/>
    <sheet name="Sheohar" sheetId="38" r:id="rId34"/>
    <sheet name="Sitamarhi" sheetId="39" r:id="rId35"/>
    <sheet name="Siwan" sheetId="40" r:id="rId36"/>
    <sheet name="Supaul" sheetId="41" r:id="rId37"/>
    <sheet name="Vaishali" sheetId="42" r:id="rId38"/>
    <sheet name="West Champaran" sheetId="43" r:id="rId39"/>
    <sheet name="State Component" sheetId="44" r:id="rId40"/>
    <sheet name="State Total" sheetId="7" r:id="rId41"/>
  </sheets>
  <definedNames>
    <definedName name="_xlnm.Print_Area" localSheetId="0">Araria!$A$1:$R$148</definedName>
    <definedName name="_xlnm.Print_Area" localSheetId="1">Arwal!$A$1:$R$148</definedName>
    <definedName name="_xlnm.Print_Area" localSheetId="2">Aurangabad!$A$1:$R$148</definedName>
    <definedName name="_xlnm.Print_Area" localSheetId="3">Banka!$A$1:$R$148</definedName>
    <definedName name="_xlnm.Print_Area" localSheetId="5">Bhagalpur!$A$1:$R$148</definedName>
    <definedName name="_xlnm.Print_Area" localSheetId="8">Darbhanga!$A$1:$R$148</definedName>
    <definedName name="_xlnm.Print_Area" localSheetId="9">'East Champaran'!$A$1:$R$148</definedName>
    <definedName name="_xlnm.Print_Area" localSheetId="10">Gaya!$A$1:$R$148</definedName>
    <definedName name="_xlnm.Print_Area" localSheetId="11">Gopalganj!$A$1:$R$148</definedName>
    <definedName name="_xlnm.Print_Area" localSheetId="12">Jamui!$A$1:$R$148</definedName>
    <definedName name="_xlnm.Print_Area" localSheetId="13">Jehanabad!$A$1:$R$148</definedName>
    <definedName name="_xlnm.Print_Area" localSheetId="14">Kaimur!$A$1:$R$85</definedName>
    <definedName name="_xlnm.Print_Area" localSheetId="16">Khagaria!$A$1:$R$148</definedName>
    <definedName name="_xlnm.Print_Area" localSheetId="17">Kishanganj!$A$1:$R$148</definedName>
    <definedName name="_xlnm.Print_Area" localSheetId="18">Lakhisarai!$A$1:$R$148</definedName>
    <definedName name="_xlnm.Print_Area" localSheetId="19">Madhepura!$A$1:$R$148</definedName>
    <definedName name="_xlnm.Print_Area" localSheetId="20">Madhubani!$A$1:$R$148</definedName>
    <definedName name="_xlnm.Print_Area" localSheetId="21">Munger!$A$1:$R$148</definedName>
    <definedName name="_xlnm.Print_Area" localSheetId="22">Muzafferpur!$A$1:$R$85</definedName>
    <definedName name="_xlnm.Print_Area" localSheetId="23">Nalanda!$A$1:$R$148</definedName>
    <definedName name="_xlnm.Print_Area" localSheetId="24">Nawada!$A$1:$R$148</definedName>
    <definedName name="_xlnm.Print_Area" localSheetId="25">'Patna (R)'!$A$1:$R$148</definedName>
    <definedName name="_xlnm.Print_Area" localSheetId="26">'Patna (U)'!$A$1:$R$148</definedName>
    <definedName name="_xlnm.Print_Area" localSheetId="27">Purnia!$A$1:$R$148</definedName>
    <definedName name="_xlnm.Print_Area" localSheetId="28">Rohtas!$A$1:$R$148</definedName>
    <definedName name="_xlnm.Print_Area" localSheetId="29">Saharsa!$A$1:$R$148</definedName>
    <definedName name="_xlnm.Print_Area" localSheetId="30">Samastipur!$A$1:$R$148</definedName>
    <definedName name="_xlnm.Print_Area" localSheetId="31">Saran!$A$1:$R$148</definedName>
    <definedName name="_xlnm.Print_Area" localSheetId="32">Sheikhpura!$A$1:$R$148</definedName>
    <definedName name="_xlnm.Print_Area" localSheetId="33">Sheohar!$A$1:$R$85</definedName>
    <definedName name="_xlnm.Print_Area" localSheetId="34">Sitamarhi!$A$1:$R$156</definedName>
    <definedName name="_xlnm.Print_Area" localSheetId="35">Siwan!$A$1:$R$148</definedName>
    <definedName name="_xlnm.Print_Area" localSheetId="39">'State Component'!$A$1:$R$148</definedName>
    <definedName name="_xlnm.Print_Area" localSheetId="40">'State Total'!$A$1:$R$148</definedName>
    <definedName name="_xlnm.Print_Area" localSheetId="36">Supaul!$A$1:$R$148</definedName>
    <definedName name="_xlnm.Print_Area" localSheetId="37">Vaishali!$A$1:$R$148</definedName>
    <definedName name="_xlnm.Print_Area" localSheetId="38">'West Champaran'!$A$1:$R$148</definedName>
    <definedName name="_xlnm.Print_Titles" localSheetId="0">Araria!$2:$5</definedName>
    <definedName name="_xlnm.Print_Titles" localSheetId="1">Arwal!$2:$5</definedName>
    <definedName name="_xlnm.Print_Titles" localSheetId="2">Aurangabad!$2:$5</definedName>
    <definedName name="_xlnm.Print_Titles" localSheetId="3">Banka!$2:$5</definedName>
    <definedName name="_xlnm.Print_Titles" localSheetId="4">Begusarai!$2:$5</definedName>
    <definedName name="_xlnm.Print_Titles" localSheetId="5">Bhagalpur!$2:$5</definedName>
    <definedName name="_xlnm.Print_Titles" localSheetId="6">Bhojpur!$2:$5</definedName>
    <definedName name="_xlnm.Print_Titles" localSheetId="7">Buxer!$2:$5</definedName>
    <definedName name="_xlnm.Print_Titles" localSheetId="8">Darbhanga!$2:$5</definedName>
    <definedName name="_xlnm.Print_Titles" localSheetId="9">'East Champaran'!$A$2:$IV$5</definedName>
    <definedName name="_xlnm.Print_Titles" localSheetId="10">Gaya!$2:$5</definedName>
    <definedName name="_xlnm.Print_Titles" localSheetId="11">Gopalganj!$2:$5</definedName>
    <definedName name="_xlnm.Print_Titles" localSheetId="12">Jamui!$A$2:$IV$5</definedName>
    <definedName name="_xlnm.Print_Titles" localSheetId="13">Jehanabad!$2:$5</definedName>
    <definedName name="_xlnm.Print_Titles" localSheetId="14">Kaimur!$2:$5</definedName>
    <definedName name="_xlnm.Print_Titles" localSheetId="15">Katihar!$A$2:$IV$5</definedName>
    <definedName name="_xlnm.Print_Titles" localSheetId="16">Khagaria!$A$2:$IV$5</definedName>
    <definedName name="_xlnm.Print_Titles" localSheetId="17">Kishanganj!$A$2:$IV$5</definedName>
    <definedName name="_xlnm.Print_Titles" localSheetId="18">Lakhisarai!$A$2:$IV$5</definedName>
    <definedName name="_xlnm.Print_Titles" localSheetId="19">Madhepura!$2:$5</definedName>
    <definedName name="_xlnm.Print_Titles" localSheetId="20">Madhubani!$2:$5</definedName>
    <definedName name="_xlnm.Print_Titles" localSheetId="21">Munger!$A$2:$IV$5</definedName>
    <definedName name="_xlnm.Print_Titles" localSheetId="22">Muzafferpur!$2:$5</definedName>
    <definedName name="_xlnm.Print_Titles" localSheetId="23">Nalanda!$A$2:$IV$5</definedName>
    <definedName name="_xlnm.Print_Titles" localSheetId="24">Nawada!$A$2:$IV$5</definedName>
    <definedName name="_xlnm.Print_Titles" localSheetId="25">'Patna (R)'!$2:$5</definedName>
    <definedName name="_xlnm.Print_Titles" localSheetId="26">'Patna (U)'!$2:$5</definedName>
    <definedName name="_xlnm.Print_Titles" localSheetId="27">Purnia!$A$2:$IV$5</definedName>
    <definedName name="_xlnm.Print_Titles" localSheetId="28">Rohtas!$A$2:$IV$5</definedName>
    <definedName name="_xlnm.Print_Titles" localSheetId="29">Saharsa!$2:$5</definedName>
    <definedName name="_xlnm.Print_Titles" localSheetId="30">Samastipur!$A$2:$IV$5</definedName>
    <definedName name="_xlnm.Print_Titles" localSheetId="31">Saran!$2:$5</definedName>
    <definedName name="_xlnm.Print_Titles" localSheetId="32">Sheikhpura!$2:$5</definedName>
    <definedName name="_xlnm.Print_Titles" localSheetId="33">Sheohar!$2:$5</definedName>
    <definedName name="_xlnm.Print_Titles" localSheetId="34">Sitamarhi!$2:$5</definedName>
    <definedName name="_xlnm.Print_Titles" localSheetId="35">Siwan!$2:$5</definedName>
    <definedName name="_xlnm.Print_Titles" localSheetId="39">'State Component'!$2:$5</definedName>
    <definedName name="_xlnm.Print_Titles" localSheetId="40">'State Total'!$1:$5</definedName>
    <definedName name="_xlnm.Print_Titles" localSheetId="36">Supaul!$2:$5</definedName>
    <definedName name="_xlnm.Print_Titles" localSheetId="37">Vaishali!$2:$5</definedName>
    <definedName name="_xlnm.Print_Titles" localSheetId="38">'West Champaran'!$A$1:$IV$5</definedName>
  </definedNames>
  <calcPr calcId="125725"/>
</workbook>
</file>

<file path=xl/calcChain.xml><?xml version="1.0" encoding="utf-8"?>
<calcChain xmlns="http://schemas.openxmlformats.org/spreadsheetml/2006/main">
  <c r="D114" i="7"/>
  <c r="F49" i="28"/>
  <c r="F47"/>
  <c r="D24" i="22"/>
  <c r="F62"/>
  <c r="F60"/>
  <c r="F49"/>
  <c r="F47"/>
  <c r="F36"/>
  <c r="F35"/>
  <c r="F34"/>
  <c r="F64" i="9"/>
  <c r="F64" i="10"/>
  <c r="F64" i="11"/>
  <c r="F64" i="1"/>
  <c r="F64" i="13"/>
  <c r="F64" i="14"/>
  <c r="F64" i="15"/>
  <c r="F64" i="6"/>
  <c r="F64" i="16"/>
  <c r="F64" i="4"/>
  <c r="F64" i="17"/>
  <c r="F64" i="5"/>
  <c r="F64" i="18"/>
  <c r="F64" i="19"/>
  <c r="F64" i="20"/>
  <c r="F64" i="21"/>
  <c r="F64" i="23"/>
  <c r="F64" i="24"/>
  <c r="F64" i="25"/>
  <c r="F64" i="26"/>
  <c r="F64" i="27"/>
  <c r="F64" i="29"/>
  <c r="F64" i="30"/>
  <c r="F64" i="31"/>
  <c r="F64" i="32"/>
  <c r="F64" i="33"/>
  <c r="F64" i="34"/>
  <c r="F64" i="35"/>
  <c r="F64" i="36"/>
  <c r="F64" i="37"/>
  <c r="F64" i="38"/>
  <c r="F64" i="39"/>
  <c r="F64" i="40"/>
  <c r="F64" i="41"/>
  <c r="F64" i="42"/>
  <c r="F64" i="43"/>
  <c r="F64" i="44"/>
  <c r="F64" i="8"/>
  <c r="D64" i="9"/>
  <c r="D64" i="10"/>
  <c r="D64" i="11"/>
  <c r="D64" i="1"/>
  <c r="D64" i="13"/>
  <c r="D64" i="14"/>
  <c r="D64" i="15"/>
  <c r="D64" i="6"/>
  <c r="D64" i="16"/>
  <c r="D64" i="4"/>
  <c r="D64" i="17"/>
  <c r="D64" i="5"/>
  <c r="D64" i="18"/>
  <c r="D64" i="19"/>
  <c r="D64" i="20"/>
  <c r="D64" i="21"/>
  <c r="D64" i="23"/>
  <c r="D64" i="24"/>
  <c r="D64" i="25"/>
  <c r="D64" i="26"/>
  <c r="D64" i="27"/>
  <c r="D64" i="28"/>
  <c r="D64" i="29"/>
  <c r="D64" i="30"/>
  <c r="D64" i="31"/>
  <c r="D64" i="32"/>
  <c r="D64" i="33"/>
  <c r="D64" i="34"/>
  <c r="D64" i="35"/>
  <c r="D64" i="36"/>
  <c r="D64" i="37"/>
  <c r="D64" i="38"/>
  <c r="D64" i="39"/>
  <c r="D64" i="40"/>
  <c r="D64" i="41"/>
  <c r="D64" i="42"/>
  <c r="D64" i="43"/>
  <c r="D64" i="44"/>
  <c r="D64" i="8"/>
  <c r="F63" i="9"/>
  <c r="F63" i="10"/>
  <c r="F63" i="11"/>
  <c r="F63" i="1"/>
  <c r="F63" i="13"/>
  <c r="F63" i="14"/>
  <c r="F63" i="15"/>
  <c r="F63" i="6"/>
  <c r="F63" i="16"/>
  <c r="F63" i="4"/>
  <c r="F63" i="17"/>
  <c r="F63" i="5"/>
  <c r="F63" i="18"/>
  <c r="F63" i="19"/>
  <c r="F63" i="20"/>
  <c r="F63" i="21"/>
  <c r="F63" i="22"/>
  <c r="F63" i="23"/>
  <c r="F63" i="24"/>
  <c r="F63" i="25"/>
  <c r="F63" i="26"/>
  <c r="F63" i="27"/>
  <c r="F63" i="28"/>
  <c r="F63" i="29"/>
  <c r="F63" i="30"/>
  <c r="F63" i="31"/>
  <c r="F63" i="32"/>
  <c r="F63" i="33"/>
  <c r="F63" i="34"/>
  <c r="F63" i="35"/>
  <c r="F63" i="36"/>
  <c r="F63" i="37"/>
  <c r="F63" i="38"/>
  <c r="F63" i="39"/>
  <c r="F63" i="40"/>
  <c r="F63" i="41"/>
  <c r="F63" i="42"/>
  <c r="F63" i="43"/>
  <c r="F63" i="44"/>
  <c r="F63" i="8"/>
  <c r="D63" i="9"/>
  <c r="D63" i="10"/>
  <c r="D63" i="11"/>
  <c r="D63" i="1"/>
  <c r="D63" i="13"/>
  <c r="D63" i="14"/>
  <c r="D63" i="15"/>
  <c r="D63" i="6"/>
  <c r="D63" i="16"/>
  <c r="D63" i="4"/>
  <c r="D63" i="17"/>
  <c r="D63" i="5"/>
  <c r="D63" i="18"/>
  <c r="D63" i="19"/>
  <c r="D63" i="20"/>
  <c r="D63" i="21"/>
  <c r="D63" i="22"/>
  <c r="D63" i="23"/>
  <c r="D63" i="24"/>
  <c r="D63" i="25"/>
  <c r="D63" i="26"/>
  <c r="D63" i="27"/>
  <c r="D63" i="28"/>
  <c r="D63" i="29"/>
  <c r="D63" i="30"/>
  <c r="D63" i="31"/>
  <c r="D63" i="32"/>
  <c r="D63" i="33"/>
  <c r="D63" i="34"/>
  <c r="D63" i="35"/>
  <c r="D63" i="36"/>
  <c r="D63" i="37"/>
  <c r="D63" i="38"/>
  <c r="D63" i="39"/>
  <c r="D63" i="40"/>
  <c r="D63" i="41"/>
  <c r="D63" i="42"/>
  <c r="D63" i="43"/>
  <c r="D63" i="44"/>
  <c r="D63" i="8"/>
  <c r="F50" i="9"/>
  <c r="F50" i="10"/>
  <c r="F50" i="11"/>
  <c r="F50" i="1"/>
  <c r="F50" i="13"/>
  <c r="F50" i="14"/>
  <c r="F50" i="15"/>
  <c r="F50" i="6"/>
  <c r="F50" i="16"/>
  <c r="F50" i="4"/>
  <c r="F50" i="17"/>
  <c r="F50" i="5"/>
  <c r="F50" i="18"/>
  <c r="F50" i="19"/>
  <c r="F50" i="20"/>
  <c r="F50" i="21"/>
  <c r="F50" i="23"/>
  <c r="F50" i="24"/>
  <c r="F50" i="25"/>
  <c r="F50" i="26"/>
  <c r="F50" i="27"/>
  <c r="F50" i="29"/>
  <c r="F50" i="30"/>
  <c r="F50" i="31"/>
  <c r="F50" i="32"/>
  <c r="F50" i="33"/>
  <c r="F50" i="34"/>
  <c r="F50" i="35"/>
  <c r="F50" i="36"/>
  <c r="F50" i="37"/>
  <c r="F50" i="38"/>
  <c r="F50" i="39"/>
  <c r="F50" i="40"/>
  <c r="F50" i="41"/>
  <c r="F50" i="42"/>
  <c r="F50" i="43"/>
  <c r="F50" i="44"/>
  <c r="F50" i="8"/>
  <c r="D50" i="9"/>
  <c r="D50" i="10"/>
  <c r="D50" i="11"/>
  <c r="D50" i="1"/>
  <c r="D50" i="13"/>
  <c r="D50" i="14"/>
  <c r="D50" i="15"/>
  <c r="D50" i="6"/>
  <c r="D50" i="16"/>
  <c r="D50" i="4"/>
  <c r="D50" i="17"/>
  <c r="D50" i="5"/>
  <c r="D50" i="18"/>
  <c r="D50" i="19"/>
  <c r="D50" i="20"/>
  <c r="D50" i="21"/>
  <c r="D50" i="22"/>
  <c r="D50" i="23"/>
  <c r="D50" i="24"/>
  <c r="D50" i="25"/>
  <c r="D50" i="26"/>
  <c r="D50" i="27"/>
  <c r="D50" i="28"/>
  <c r="D50" i="29"/>
  <c r="D50" i="30"/>
  <c r="D50" i="31"/>
  <c r="D50" i="32"/>
  <c r="D50" i="33"/>
  <c r="D50" i="34"/>
  <c r="D50" i="35"/>
  <c r="D50" i="36"/>
  <c r="D50" i="37"/>
  <c r="D50" i="38"/>
  <c r="D50" i="39"/>
  <c r="D50" i="40"/>
  <c r="D50" i="41"/>
  <c r="D50" i="42"/>
  <c r="D50" i="43"/>
  <c r="D50" i="44"/>
  <c r="D50" i="8"/>
  <c r="F37" i="9"/>
  <c r="F37" i="10"/>
  <c r="F37" i="11"/>
  <c r="F37" i="1"/>
  <c r="F37" i="13"/>
  <c r="F37" i="14"/>
  <c r="F37" i="15"/>
  <c r="F37" i="6"/>
  <c r="F37" i="16"/>
  <c r="F37" i="4"/>
  <c r="F37" i="17"/>
  <c r="F37" i="5"/>
  <c r="F37" i="18"/>
  <c r="F37" i="19"/>
  <c r="F37" i="20"/>
  <c r="F37" i="21"/>
  <c r="F37" i="23"/>
  <c r="F37" i="24"/>
  <c r="F37" i="25"/>
  <c r="F37" i="26"/>
  <c r="F37" i="27"/>
  <c r="F37" i="28"/>
  <c r="F37" i="29"/>
  <c r="F37" i="30"/>
  <c r="F37" i="31"/>
  <c r="F37" i="32"/>
  <c r="F37" i="33"/>
  <c r="F37" i="34"/>
  <c r="F37" i="35"/>
  <c r="F37" i="36"/>
  <c r="F37" i="37"/>
  <c r="F37" i="38"/>
  <c r="F37" i="39"/>
  <c r="F37" i="40"/>
  <c r="F37" i="41"/>
  <c r="F37" i="42"/>
  <c r="F37" i="43"/>
  <c r="F37" i="44"/>
  <c r="F37" i="8"/>
  <c r="D37" i="9"/>
  <c r="D37" i="10"/>
  <c r="D37" i="11"/>
  <c r="D37" i="1"/>
  <c r="D37" i="13"/>
  <c r="D37" i="14"/>
  <c r="D37" i="15"/>
  <c r="D37" i="6"/>
  <c r="D37" i="16"/>
  <c r="D37" i="4"/>
  <c r="D37" i="17"/>
  <c r="D37" i="5"/>
  <c r="D37" i="18"/>
  <c r="D37" i="19"/>
  <c r="D37" i="20"/>
  <c r="D37" i="21"/>
  <c r="D37" i="22"/>
  <c r="D37" i="23"/>
  <c r="D37" i="24"/>
  <c r="D37" i="25"/>
  <c r="D37" i="26"/>
  <c r="D37" i="27"/>
  <c r="D37" i="28"/>
  <c r="D37" i="29"/>
  <c r="D37" i="30"/>
  <c r="D37" i="31"/>
  <c r="D37" i="32"/>
  <c r="D37" i="33"/>
  <c r="D37" i="34"/>
  <c r="D37" i="35"/>
  <c r="D37" i="36"/>
  <c r="D37" i="37"/>
  <c r="D37" i="38"/>
  <c r="D37" i="39"/>
  <c r="D37" i="40"/>
  <c r="D37" i="41"/>
  <c r="D37" i="42"/>
  <c r="D37" i="43"/>
  <c r="D37" i="44"/>
  <c r="D37" i="8"/>
  <c r="F24" i="9"/>
  <c r="F24" i="10"/>
  <c r="F24" i="11"/>
  <c r="F24" i="1"/>
  <c r="F24" i="13"/>
  <c r="F24" i="14"/>
  <c r="F24" i="15"/>
  <c r="F24" i="6"/>
  <c r="F24" i="16"/>
  <c r="F24" i="4"/>
  <c r="F24" i="17"/>
  <c r="F24" i="5"/>
  <c r="F24" i="18"/>
  <c r="F24" i="19"/>
  <c r="F24" i="20"/>
  <c r="F24" i="21"/>
  <c r="F24" i="22"/>
  <c r="F24" i="23"/>
  <c r="F24" i="24"/>
  <c r="F24" i="25"/>
  <c r="F24" i="26"/>
  <c r="F24" i="27"/>
  <c r="F24" i="28"/>
  <c r="F24" i="29"/>
  <c r="F24" i="30"/>
  <c r="F24" i="31"/>
  <c r="F24" i="32"/>
  <c r="F24" i="33"/>
  <c r="F24" i="34"/>
  <c r="F24" i="35"/>
  <c r="F24" i="36"/>
  <c r="F24" i="37"/>
  <c r="F24" i="38"/>
  <c r="F24" i="39"/>
  <c r="F24" i="40"/>
  <c r="F24" i="41"/>
  <c r="F24" i="42"/>
  <c r="F24" i="43"/>
  <c r="F24" i="44"/>
  <c r="F24" i="8"/>
  <c r="D24" i="9"/>
  <c r="D24" i="10"/>
  <c r="D24" i="11"/>
  <c r="D24" i="1"/>
  <c r="D24" i="13"/>
  <c r="D24" i="14"/>
  <c r="D24" i="15"/>
  <c r="D24" i="6"/>
  <c r="D24" i="16"/>
  <c r="D24" i="4"/>
  <c r="D24" i="17"/>
  <c r="D24" i="5"/>
  <c r="D24" i="18"/>
  <c r="D24" i="19"/>
  <c r="D24" i="20"/>
  <c r="D24" i="21"/>
  <c r="D24" i="23"/>
  <c r="D24" i="24"/>
  <c r="D24" i="25"/>
  <c r="D24" i="26"/>
  <c r="D24" i="27"/>
  <c r="D24" i="28"/>
  <c r="D24" i="29"/>
  <c r="D24" i="30"/>
  <c r="D24" i="31"/>
  <c r="D24" i="32"/>
  <c r="D24" i="33"/>
  <c r="D24" i="34"/>
  <c r="D24" i="35"/>
  <c r="D24" i="36"/>
  <c r="D24" i="37"/>
  <c r="D24" i="38"/>
  <c r="D24" i="39"/>
  <c r="D24" i="40"/>
  <c r="D24" i="41"/>
  <c r="D24" i="42"/>
  <c r="D24" i="43"/>
  <c r="D24" i="44"/>
  <c r="D24" i="8"/>
  <c r="F10" i="9"/>
  <c r="F10" i="10"/>
  <c r="F10" i="11"/>
  <c r="F10" i="1"/>
  <c r="F10" i="13"/>
  <c r="F10" i="14"/>
  <c r="F10" i="15"/>
  <c r="F10" i="6"/>
  <c r="F10" i="16"/>
  <c r="F10" i="4"/>
  <c r="F10" i="17"/>
  <c r="F10" i="5"/>
  <c r="F10" i="18"/>
  <c r="F10" i="19"/>
  <c r="F10" i="20"/>
  <c r="F10" i="21"/>
  <c r="F10" i="22"/>
  <c r="F10" i="23"/>
  <c r="F10" i="24"/>
  <c r="F10" i="25"/>
  <c r="F10" i="26"/>
  <c r="F10" i="27"/>
  <c r="F10" i="28"/>
  <c r="F10" i="29"/>
  <c r="F10" i="30"/>
  <c r="F10" i="31"/>
  <c r="F10" i="32"/>
  <c r="F10" i="33"/>
  <c r="F10" i="34"/>
  <c r="F10" i="35"/>
  <c r="F10" i="36"/>
  <c r="F10" i="37"/>
  <c r="F10" i="38"/>
  <c r="F10" i="39"/>
  <c r="F10" i="40"/>
  <c r="F10" i="41"/>
  <c r="F10" i="42"/>
  <c r="F10" i="43"/>
  <c r="F10" i="44"/>
  <c r="F10" i="8"/>
  <c r="D10" i="9"/>
  <c r="D10" i="10"/>
  <c r="D10" i="11"/>
  <c r="D10" i="1"/>
  <c r="D10" i="13"/>
  <c r="D10" i="14"/>
  <c r="D10" i="15"/>
  <c r="D10" i="6"/>
  <c r="D10" i="16"/>
  <c r="D10" i="4"/>
  <c r="D10" i="17"/>
  <c r="D10" i="5"/>
  <c r="D10" i="18"/>
  <c r="D10" i="19"/>
  <c r="D10" i="20"/>
  <c r="D10" i="21"/>
  <c r="D10" i="22"/>
  <c r="D10" i="23"/>
  <c r="D10" i="24"/>
  <c r="D10" i="25"/>
  <c r="D10" i="26"/>
  <c r="D10" i="27"/>
  <c r="D10" i="28"/>
  <c r="D10" i="29"/>
  <c r="D10" i="30"/>
  <c r="D10" i="31"/>
  <c r="D10" i="32"/>
  <c r="D10" i="33"/>
  <c r="D10" i="34"/>
  <c r="D10" i="35"/>
  <c r="D10" i="36"/>
  <c r="D10" i="37"/>
  <c r="D10" i="38"/>
  <c r="D10" i="39"/>
  <c r="D10" i="40"/>
  <c r="D10" i="41"/>
  <c r="D10" i="42"/>
  <c r="D10" i="43"/>
  <c r="D10" i="44"/>
  <c r="D10" i="8"/>
  <c r="F50" i="28" l="1"/>
  <c r="F64" s="1"/>
  <c r="F37" i="22"/>
  <c r="F50"/>
  <c r="F64"/>
  <c r="D64"/>
  <c r="F66" i="44"/>
  <c r="F67"/>
  <c r="F49" i="43" l="1"/>
  <c r="F47"/>
  <c r="F32"/>
  <c r="F31"/>
  <c r="F30"/>
  <c r="F19"/>
  <c r="F18"/>
  <c r="F17"/>
  <c r="F49" i="42"/>
  <c r="F47"/>
  <c r="F45" i="38"/>
  <c r="F43"/>
  <c r="F45" i="40"/>
  <c r="F43"/>
  <c r="F43" i="42"/>
  <c r="F45"/>
  <c r="F36"/>
  <c r="F35"/>
  <c r="F34"/>
  <c r="F19"/>
  <c r="F18"/>
  <c r="F17"/>
  <c r="F49" i="41"/>
  <c r="F47"/>
  <c r="F36"/>
  <c r="F35"/>
  <c r="F34"/>
  <c r="F19"/>
  <c r="F18"/>
  <c r="F17"/>
  <c r="F49" i="40"/>
  <c r="F47"/>
  <c r="F34"/>
  <c r="F19"/>
  <c r="F18"/>
  <c r="F17"/>
  <c r="F32" i="39"/>
  <c r="F31"/>
  <c r="F30"/>
  <c r="F49"/>
  <c r="F47"/>
  <c r="F19"/>
  <c r="F18"/>
  <c r="F17"/>
  <c r="F49" i="38"/>
  <c r="F47"/>
  <c r="F36"/>
  <c r="F35"/>
  <c r="F34"/>
  <c r="F19"/>
  <c r="F18"/>
  <c r="F17"/>
  <c r="F49" i="37"/>
  <c r="F47"/>
  <c r="F45"/>
  <c r="F43"/>
  <c r="F34"/>
  <c r="F23"/>
  <c r="F22"/>
  <c r="F21"/>
  <c r="F49" i="36"/>
  <c r="F47"/>
  <c r="F19"/>
  <c r="F18"/>
  <c r="F17"/>
  <c r="F49" i="35"/>
  <c r="F47"/>
  <c r="F45"/>
  <c r="F43"/>
  <c r="F36"/>
  <c r="F35"/>
  <c r="F34"/>
  <c r="F19"/>
  <c r="F18"/>
  <c r="F17"/>
  <c r="F49" i="34"/>
  <c r="F47"/>
  <c r="F34"/>
  <c r="F23"/>
  <c r="F22"/>
  <c r="F21"/>
  <c r="F49" i="33"/>
  <c r="F47"/>
  <c r="F36"/>
  <c r="F35"/>
  <c r="F34"/>
  <c r="F19"/>
  <c r="F18"/>
  <c r="F17"/>
  <c r="F45" i="32"/>
  <c r="F43"/>
  <c r="F23"/>
  <c r="F22"/>
  <c r="F21"/>
  <c r="F19"/>
  <c r="F18"/>
  <c r="F17"/>
  <c r="F60" i="31"/>
  <c r="F49"/>
  <c r="F47"/>
  <c r="F23"/>
  <c r="F22"/>
  <c r="F21"/>
  <c r="F36" i="30" l="1"/>
  <c r="F35"/>
  <c r="F34"/>
  <c r="F78" i="31"/>
  <c r="D133" i="7"/>
  <c r="F49" i="30"/>
  <c r="F47"/>
  <c r="F23"/>
  <c r="F22"/>
  <c r="F21"/>
  <c r="F19"/>
  <c r="F18"/>
  <c r="F17"/>
  <c r="F19" i="29" l="1"/>
  <c r="F18"/>
  <c r="F17"/>
  <c r="F120" i="27"/>
  <c r="F19" i="26"/>
  <c r="F18"/>
  <c r="F17"/>
  <c r="F19" i="25"/>
  <c r="F18"/>
  <c r="F17"/>
  <c r="F19" i="23"/>
  <c r="F18"/>
  <c r="F17"/>
  <c r="F19" i="22"/>
  <c r="F18"/>
  <c r="F17"/>
  <c r="F19" i="21"/>
  <c r="F18"/>
  <c r="F17"/>
  <c r="D134" i="20"/>
  <c r="D68"/>
  <c r="F19" i="19" l="1"/>
  <c r="F18"/>
  <c r="F17"/>
  <c r="F32" i="18" l="1"/>
  <c r="F31"/>
  <c r="F30"/>
  <c r="F19"/>
  <c r="F18"/>
  <c r="F17"/>
  <c r="F19" i="5"/>
  <c r="F18"/>
  <c r="F17"/>
  <c r="F17" i="17"/>
  <c r="F18"/>
  <c r="F19"/>
  <c r="F19" i="4"/>
  <c r="F18"/>
  <c r="F17"/>
  <c r="F19" i="16"/>
  <c r="F18"/>
  <c r="F17"/>
  <c r="F19" i="6"/>
  <c r="F18"/>
  <c r="F17"/>
  <c r="F19" i="15"/>
  <c r="F18"/>
  <c r="F17"/>
  <c r="F19" i="14"/>
  <c r="F18"/>
  <c r="F17"/>
  <c r="F19" i="13"/>
  <c r="F18"/>
  <c r="F17"/>
  <c r="F32" i="1"/>
  <c r="F31"/>
  <c r="F30"/>
  <c r="F19"/>
  <c r="F18"/>
  <c r="F17"/>
  <c r="F19" i="11" l="1"/>
  <c r="F18"/>
  <c r="F17"/>
  <c r="F73" i="10"/>
  <c r="F77"/>
  <c r="F76"/>
  <c r="F75"/>
  <c r="F72"/>
  <c r="F71"/>
  <c r="F70"/>
  <c r="F69"/>
  <c r="F49"/>
  <c r="F47"/>
  <c r="F19"/>
  <c r="F18"/>
  <c r="F17"/>
  <c r="F75" i="9"/>
  <c r="F76"/>
  <c r="F73"/>
  <c r="F72"/>
  <c r="F71"/>
  <c r="F70"/>
  <c r="F69"/>
  <c r="F81" l="1"/>
  <c r="F19"/>
  <c r="F18"/>
  <c r="F17"/>
  <c r="F77" i="7"/>
  <c r="F133"/>
  <c r="F138"/>
  <c r="F137"/>
  <c r="F136"/>
  <c r="F132"/>
  <c r="F129"/>
  <c r="F128"/>
  <c r="F125"/>
  <c r="F124"/>
  <c r="F122"/>
  <c r="F121"/>
  <c r="F119"/>
  <c r="F118"/>
  <c r="F115"/>
  <c r="F114"/>
  <c r="F113"/>
  <c r="F112"/>
  <c r="F109"/>
  <c r="F108"/>
  <c r="F107"/>
  <c r="F106"/>
  <c r="F105"/>
  <c r="F102"/>
  <c r="F103" s="1"/>
  <c r="F100"/>
  <c r="F99"/>
  <c r="F97"/>
  <c r="F96"/>
  <c r="F94"/>
  <c r="F93"/>
  <c r="F92"/>
  <c r="F91"/>
  <c r="F89"/>
  <c r="F88"/>
  <c r="F87"/>
  <c r="F86"/>
  <c r="F85"/>
  <c r="F84"/>
  <c r="F80"/>
  <c r="F79"/>
  <c r="F76"/>
  <c r="F75"/>
  <c r="F73"/>
  <c r="F72"/>
  <c r="F71"/>
  <c r="F70"/>
  <c r="F69"/>
  <c r="F62"/>
  <c r="F61"/>
  <c r="F60"/>
  <c r="F58"/>
  <c r="F57"/>
  <c r="F56"/>
  <c r="F54"/>
  <c r="F53"/>
  <c r="F52"/>
  <c r="F49"/>
  <c r="F48"/>
  <c r="F47"/>
  <c r="F45"/>
  <c r="F44"/>
  <c r="F43"/>
  <c r="F41"/>
  <c r="F40"/>
  <c r="F39"/>
  <c r="F36"/>
  <c r="F35"/>
  <c r="F34"/>
  <c r="F32"/>
  <c r="F31"/>
  <c r="F30"/>
  <c r="F28"/>
  <c r="F27"/>
  <c r="F23"/>
  <c r="F22"/>
  <c r="F21"/>
  <c r="F15"/>
  <c r="F14"/>
  <c r="F13"/>
  <c r="F9"/>
  <c r="F8"/>
  <c r="F7"/>
  <c r="D138"/>
  <c r="D137"/>
  <c r="D136"/>
  <c r="D132"/>
  <c r="D129"/>
  <c r="D128"/>
  <c r="D125"/>
  <c r="D124"/>
  <c r="D126" s="1"/>
  <c r="D121"/>
  <c r="D123" s="1"/>
  <c r="D119"/>
  <c r="D118"/>
  <c r="D115"/>
  <c r="D113"/>
  <c r="D112"/>
  <c r="D109"/>
  <c r="D108"/>
  <c r="D110" s="1"/>
  <c r="D107"/>
  <c r="D106"/>
  <c r="D105"/>
  <c r="D102"/>
  <c r="D103" s="1"/>
  <c r="D100"/>
  <c r="D99"/>
  <c r="D97"/>
  <c r="D96"/>
  <c r="D94"/>
  <c r="D93"/>
  <c r="D92"/>
  <c r="D91"/>
  <c r="D89"/>
  <c r="D88"/>
  <c r="D87"/>
  <c r="D86"/>
  <c r="D85"/>
  <c r="D84"/>
  <c r="D80"/>
  <c r="D79"/>
  <c r="D77"/>
  <c r="D76"/>
  <c r="D75"/>
  <c r="D73"/>
  <c r="D72"/>
  <c r="D71"/>
  <c r="D70"/>
  <c r="D69"/>
  <c r="D67"/>
  <c r="D62"/>
  <c r="D61"/>
  <c r="D60"/>
  <c r="D58"/>
  <c r="D57"/>
  <c r="D56"/>
  <c r="D54"/>
  <c r="D53"/>
  <c r="D52"/>
  <c r="D49"/>
  <c r="D48"/>
  <c r="D47"/>
  <c r="D45"/>
  <c r="D44"/>
  <c r="D43"/>
  <c r="D41"/>
  <c r="D40"/>
  <c r="D39"/>
  <c r="D36"/>
  <c r="D35"/>
  <c r="D34"/>
  <c r="D32"/>
  <c r="D31"/>
  <c r="D30"/>
  <c r="D28"/>
  <c r="D27"/>
  <c r="D26"/>
  <c r="D23"/>
  <c r="D22"/>
  <c r="D21"/>
  <c r="D19"/>
  <c r="D18"/>
  <c r="D17"/>
  <c r="D15"/>
  <c r="D14"/>
  <c r="D13"/>
  <c r="D9"/>
  <c r="D8"/>
  <c r="D7"/>
  <c r="D130"/>
  <c r="F139" i="44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8"/>
  <c r="D68"/>
  <c r="F139" i="43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F66"/>
  <c r="D68"/>
  <c r="F139" i="42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41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F66"/>
  <c r="D68"/>
  <c r="F139" i="40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39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38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37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36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35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34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33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32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31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D78"/>
  <c r="F74"/>
  <c r="D74"/>
  <c r="F67"/>
  <c r="D68"/>
  <c r="F139" i="30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F66"/>
  <c r="F68" s="1"/>
  <c r="D68"/>
  <c r="F139" i="29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28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27"/>
  <c r="D139"/>
  <c r="F134"/>
  <c r="D134"/>
  <c r="F130"/>
  <c r="D130"/>
  <c r="F126"/>
  <c r="D126"/>
  <c r="F123"/>
  <c r="D123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26"/>
  <c r="D139"/>
  <c r="F134"/>
  <c r="D134"/>
  <c r="F130"/>
  <c r="D130"/>
  <c r="F126"/>
  <c r="D126"/>
  <c r="F123"/>
  <c r="D123"/>
  <c r="D122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25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24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23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22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D68"/>
  <c r="F67"/>
  <c r="F66"/>
  <c r="F139" i="21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20"/>
  <c r="D139"/>
  <c r="F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F139" i="19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18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5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17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4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16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6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15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13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14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1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11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10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F81"/>
  <c r="D81"/>
  <c r="F78"/>
  <c r="D78"/>
  <c r="F74"/>
  <c r="D74"/>
  <c r="F67"/>
  <c r="D68"/>
  <c r="F139" i="9"/>
  <c r="D139"/>
  <c r="F134"/>
  <c r="D134"/>
  <c r="F130"/>
  <c r="D130"/>
  <c r="F126"/>
  <c r="D126"/>
  <c r="F123"/>
  <c r="D123"/>
  <c r="F120"/>
  <c r="D120"/>
  <c r="F116"/>
  <c r="D116"/>
  <c r="F110"/>
  <c r="D110"/>
  <c r="F103"/>
  <c r="D103"/>
  <c r="F101"/>
  <c r="D101"/>
  <c r="F98"/>
  <c r="D98"/>
  <c r="F95"/>
  <c r="D95"/>
  <c r="F90"/>
  <c r="D90"/>
  <c r="D81"/>
  <c r="F78"/>
  <c r="D78"/>
  <c r="F74"/>
  <c r="D74"/>
  <c r="F67"/>
  <c r="D68"/>
  <c r="D63" i="7" l="1"/>
  <c r="D24"/>
  <c r="D50"/>
  <c r="D37"/>
  <c r="F37"/>
  <c r="F50"/>
  <c r="F101"/>
  <c r="F98"/>
  <c r="F130"/>
  <c r="D101"/>
  <c r="D95"/>
  <c r="F82" i="34"/>
  <c r="D82"/>
  <c r="F123" i="7"/>
  <c r="F10"/>
  <c r="D98"/>
  <c r="F19"/>
  <c r="F18"/>
  <c r="F82" i="30"/>
  <c r="D82" i="37"/>
  <c r="D82" i="30"/>
  <c r="D82" i="38"/>
  <c r="F82" i="39"/>
  <c r="F68" i="43"/>
  <c r="F82"/>
  <c r="D82" i="44"/>
  <c r="D82" i="32"/>
  <c r="F82" i="33"/>
  <c r="D82" i="36"/>
  <c r="F82" i="37"/>
  <c r="D82" i="40"/>
  <c r="D140" i="42"/>
  <c r="D82"/>
  <c r="D82" i="33"/>
  <c r="F82" i="38"/>
  <c r="F82" i="44"/>
  <c r="F82" i="31"/>
  <c r="F82" i="35"/>
  <c r="F68" i="41"/>
  <c r="F82"/>
  <c r="D82" i="31"/>
  <c r="F82" i="32"/>
  <c r="D82" i="35"/>
  <c r="F82" i="36"/>
  <c r="D82" i="39"/>
  <c r="F82" i="40"/>
  <c r="D82" i="41"/>
  <c r="F82" i="42"/>
  <c r="D82" i="43"/>
  <c r="D140" s="1"/>
  <c r="F95" i="7"/>
  <c r="F82" i="29"/>
  <c r="D82"/>
  <c r="D82" i="28"/>
  <c r="D66" i="7"/>
  <c r="D68" s="1"/>
  <c r="F82" i="28"/>
  <c r="F134" i="7"/>
  <c r="D120"/>
  <c r="F120"/>
  <c r="F126"/>
  <c r="D140" i="28"/>
  <c r="F82" i="27"/>
  <c r="D82"/>
  <c r="F82" i="26"/>
  <c r="D82"/>
  <c r="F82" i="25"/>
  <c r="D82"/>
  <c r="F82" i="24"/>
  <c r="D82"/>
  <c r="F82" i="23"/>
  <c r="D82"/>
  <c r="F82" i="22"/>
  <c r="D82"/>
  <c r="F68"/>
  <c r="F82" i="21"/>
  <c r="D82"/>
  <c r="D134" i="7"/>
  <c r="F82" i="20"/>
  <c r="D82"/>
  <c r="F82" i="19"/>
  <c r="D82"/>
  <c r="F63" i="7"/>
  <c r="F82" i="18"/>
  <c r="D82"/>
  <c r="F82" i="5"/>
  <c r="D82"/>
  <c r="F82" i="17"/>
  <c r="D82"/>
  <c r="F82" i="4"/>
  <c r="D82"/>
  <c r="F82" i="16"/>
  <c r="D82"/>
  <c r="F82" i="6"/>
  <c r="D82"/>
  <c r="F82" i="15"/>
  <c r="D82"/>
  <c r="F81" i="7"/>
  <c r="F82" i="14"/>
  <c r="D82"/>
  <c r="F82" i="13"/>
  <c r="D82"/>
  <c r="F82" i="1"/>
  <c r="D82"/>
  <c r="F110" i="7"/>
  <c r="F116"/>
  <c r="D116"/>
  <c r="F82" i="11"/>
  <c r="D82"/>
  <c r="F82" i="10"/>
  <c r="D82"/>
  <c r="D78" i="7"/>
  <c r="F74"/>
  <c r="D74"/>
  <c r="F139"/>
  <c r="D139"/>
  <c r="D90"/>
  <c r="F90"/>
  <c r="D81"/>
  <c r="F78"/>
  <c r="F82" i="9"/>
  <c r="D82"/>
  <c r="F66" i="42"/>
  <c r="F68" s="1"/>
  <c r="F66" i="40"/>
  <c r="F68" s="1"/>
  <c r="F66" i="39"/>
  <c r="F68" s="1"/>
  <c r="F66" i="38"/>
  <c r="F68" s="1"/>
  <c r="F66" i="37"/>
  <c r="F68" s="1"/>
  <c r="F66" i="36"/>
  <c r="F68" s="1"/>
  <c r="F66" i="35"/>
  <c r="F68" s="1"/>
  <c r="F66" i="34"/>
  <c r="F68" s="1"/>
  <c r="F66" i="33"/>
  <c r="F68" s="1"/>
  <c r="F66" i="32"/>
  <c r="F68" s="1"/>
  <c r="F66" i="31"/>
  <c r="F68" s="1"/>
  <c r="F66" i="29"/>
  <c r="F68" s="1"/>
  <c r="F66" i="28"/>
  <c r="F68" s="1"/>
  <c r="F66" i="27"/>
  <c r="F68" s="1"/>
  <c r="F66" i="26"/>
  <c r="F68" s="1"/>
  <c r="F66" i="25"/>
  <c r="F68" s="1"/>
  <c r="F66" i="24"/>
  <c r="F68" s="1"/>
  <c r="F66" i="23"/>
  <c r="F68" s="1"/>
  <c r="F66" i="21"/>
  <c r="F68" s="1"/>
  <c r="F66" i="20"/>
  <c r="F68" s="1"/>
  <c r="F66" i="19"/>
  <c r="F68" s="1"/>
  <c r="F66" i="18"/>
  <c r="F68" s="1"/>
  <c r="F66" i="5"/>
  <c r="F68" s="1"/>
  <c r="F66" i="17"/>
  <c r="F68" s="1"/>
  <c r="F66" i="4"/>
  <c r="F68" s="1"/>
  <c r="F66" i="16"/>
  <c r="F68" s="1"/>
  <c r="F66" i="6"/>
  <c r="F68" s="1"/>
  <c r="F66" i="15"/>
  <c r="F68" s="1"/>
  <c r="F66" i="13"/>
  <c r="F68" s="1"/>
  <c r="F66" i="14"/>
  <c r="F68" s="1"/>
  <c r="F66" i="1"/>
  <c r="F68" s="1"/>
  <c r="F66" i="11"/>
  <c r="F68" s="1"/>
  <c r="F66" i="10"/>
  <c r="F68" s="1"/>
  <c r="F66" i="9"/>
  <c r="F68" s="1"/>
  <c r="D78" i="8"/>
  <c r="D81"/>
  <c r="D74"/>
  <c r="F81"/>
  <c r="F78"/>
  <c r="F74"/>
  <c r="D134"/>
  <c r="F110"/>
  <c r="F19"/>
  <c r="F18"/>
  <c r="F17"/>
  <c r="F17" i="7" s="1"/>
  <c r="D116" i="8"/>
  <c r="F95"/>
  <c r="D95"/>
  <c r="F24" i="7" l="1"/>
  <c r="F64" s="1"/>
  <c r="D64"/>
  <c r="D140" i="38"/>
  <c r="D140" i="44"/>
  <c r="D140" i="41"/>
  <c r="D140" i="40"/>
  <c r="D140" i="37"/>
  <c r="D140" i="36"/>
  <c r="D140" i="35"/>
  <c r="D140" i="34"/>
  <c r="D140" i="33"/>
  <c r="D140" i="32"/>
  <c r="D140" i="39"/>
  <c r="F140" i="38"/>
  <c r="F140" i="34"/>
  <c r="F140" i="22"/>
  <c r="D140" i="9"/>
  <c r="F140" i="44"/>
  <c r="F140" i="43"/>
  <c r="F140" i="42"/>
  <c r="F140" i="36"/>
  <c r="F140" i="35"/>
  <c r="F140" i="32"/>
  <c r="D140" i="31"/>
  <c r="F140" i="30"/>
  <c r="D140"/>
  <c r="F140" i="39"/>
  <c r="F140" i="40"/>
  <c r="D140" i="19"/>
  <c r="F140" i="41"/>
  <c r="F140" i="31"/>
  <c r="F140" i="33"/>
  <c r="F140" i="37"/>
  <c r="D140" i="22"/>
  <c r="D140" i="29"/>
  <c r="F140"/>
  <c r="F140" i="28"/>
  <c r="D140" i="27"/>
  <c r="F140"/>
  <c r="D140" i="26"/>
  <c r="F140"/>
  <c r="D140" i="25"/>
  <c r="F140"/>
  <c r="D140" i="24"/>
  <c r="F140"/>
  <c r="D140" i="23"/>
  <c r="F140"/>
  <c r="D140" i="21"/>
  <c r="F140"/>
  <c r="D140" i="20"/>
  <c r="F140"/>
  <c r="F140" i="19"/>
  <c r="D140" i="18"/>
  <c r="F140"/>
  <c r="D140" i="5"/>
  <c r="F140"/>
  <c r="D140" i="17"/>
  <c r="F140"/>
  <c r="D140" i="4"/>
  <c r="F140"/>
  <c r="D140" i="16"/>
  <c r="F140"/>
  <c r="D140" i="6"/>
  <c r="F140"/>
  <c r="D140" i="15"/>
  <c r="F140"/>
  <c r="D140" i="14"/>
  <c r="F140"/>
  <c r="D140" i="13"/>
  <c r="F140"/>
  <c r="D140" i="1"/>
  <c r="F140"/>
  <c r="D140" i="11"/>
  <c r="F140"/>
  <c r="D82" i="7"/>
  <c r="F82"/>
  <c r="D140" i="10"/>
  <c r="F140"/>
  <c r="F140" i="9"/>
  <c r="D82" i="8"/>
  <c r="F82"/>
  <c r="D110"/>
  <c r="F116"/>
  <c r="F130"/>
  <c r="D122"/>
  <c r="D122" i="7" s="1"/>
  <c r="D126" i="8"/>
  <c r="D123"/>
  <c r="D140" i="7" l="1"/>
  <c r="F67" i="8"/>
  <c r="F67" i="7" s="1"/>
  <c r="F134" i="8"/>
  <c r="F126"/>
  <c r="F123"/>
  <c r="F103"/>
  <c r="F101"/>
  <c r="F98"/>
  <c r="F90"/>
  <c r="D139" l="1"/>
  <c r="D130"/>
  <c r="D120"/>
  <c r="D103"/>
  <c r="D101"/>
  <c r="D98"/>
  <c r="D90"/>
  <c r="F139" l="1"/>
  <c r="F66"/>
  <c r="D68"/>
  <c r="D140" s="1"/>
  <c r="F120"/>
  <c r="E141" l="1"/>
  <c r="F66" i="7"/>
  <c r="F68" s="1"/>
  <c r="F140" s="1"/>
  <c r="F68" i="8"/>
  <c r="F140" s="1"/>
</calcChain>
</file>

<file path=xl/sharedStrings.xml><?xml version="1.0" encoding="utf-8"?>
<sst xmlns="http://schemas.openxmlformats.org/spreadsheetml/2006/main" count="24199" uniqueCount="195">
  <si>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</si>
  <si>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</si>
  <si>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</si>
  <si>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</si>
  <si>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</si>
  <si>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</si>
  <si>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</si>
  <si>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</si>
  <si>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</si>
  <si>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</si>
  <si>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</si>
  <si>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</si>
  <si>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</si>
  <si>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</si>
  <si>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</si>
  <si>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</si>
  <si>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</si>
  <si>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Single Tender from Textbook Corporation</t>
  </si>
  <si>
    <t>School Equipment under School Grant</t>
  </si>
  <si>
    <t>Limited Tender</t>
  </si>
  <si>
    <t>Ofice Equipment including computers and its accessories for DPOs</t>
  </si>
  <si>
    <t>Open Tender</t>
  </si>
  <si>
    <t>Aids and Appliances/special Equipment for Disabled Children</t>
  </si>
  <si>
    <t>Uniform</t>
  </si>
  <si>
    <t>Procurement Actions</t>
  </si>
  <si>
    <t>Without Tender</t>
  </si>
  <si>
    <t>Single Tender</t>
  </si>
  <si>
    <t>Rate Contract</t>
  </si>
  <si>
    <t>Any Other Method</t>
  </si>
  <si>
    <t>1. Preparation of Specifications and bids document</t>
  </si>
  <si>
    <t>2. Issue of Invitation to bid</t>
  </si>
  <si>
    <t>3. Open bids</t>
  </si>
  <si>
    <t>4. Evaluation</t>
  </si>
  <si>
    <t>5. Award Contracts</t>
  </si>
  <si>
    <t>6. Delivery</t>
  </si>
  <si>
    <t>Cash Transfer to the Benificieries</t>
  </si>
  <si>
    <t>Unit</t>
  </si>
  <si>
    <t>Number of Children</t>
  </si>
  <si>
    <t>Number of Primary Schools</t>
  </si>
  <si>
    <t>Number of Upper Primary Schools</t>
  </si>
  <si>
    <t>School Equipment/Furniture  under TLE Grant</t>
  </si>
  <si>
    <t>Residential Hostel</t>
  </si>
  <si>
    <t xml:space="preserve">Number of Children </t>
  </si>
  <si>
    <t xml:space="preserve">Teachers Training </t>
  </si>
  <si>
    <t>Contingent expenditure, like charts, posters, sketct pen, OHP Pens etc under Research Evaluation, Supervision and Monitoring (REMS)</t>
  </si>
  <si>
    <t>(a) Stationers (@Rs.30/-)</t>
  </si>
  <si>
    <t>Office Furniture for SPOs/DPOs</t>
  </si>
  <si>
    <t>Hiring of Vehicles in SPO/DPOs</t>
  </si>
  <si>
    <t xml:space="preserve">Number of Schools </t>
  </si>
  <si>
    <t xml:space="preserve">Computerization of Child Record </t>
  </si>
  <si>
    <t xml:space="preserve">Number of Centres </t>
  </si>
  <si>
    <t>Number of CRC</t>
  </si>
  <si>
    <t>Number of BRC</t>
  </si>
  <si>
    <t>(a) BRC Contingencies</t>
  </si>
  <si>
    <t xml:space="preserve">(b) Meeting Expenses </t>
  </si>
  <si>
    <t>(a) CRC Contingencies</t>
  </si>
  <si>
    <t xml:space="preserve">Management </t>
  </si>
  <si>
    <t>(a)</t>
  </si>
  <si>
    <t>(b)</t>
  </si>
  <si>
    <t xml:space="preserve">(c) </t>
  </si>
  <si>
    <t xml:space="preserve">(d) </t>
  </si>
  <si>
    <t xml:space="preserve">MIS </t>
  </si>
  <si>
    <t xml:space="preserve">WEB Based MIS Activities </t>
  </si>
  <si>
    <t xml:space="preserve">Number of Blocks </t>
  </si>
  <si>
    <t xml:space="preserve">Media / Community Mobilization </t>
  </si>
  <si>
    <t xml:space="preserve">Advertisement/Publicity/Awareness </t>
  </si>
  <si>
    <t>CRC/BRC/DLO</t>
  </si>
  <si>
    <t xml:space="preserve">Number of Districts </t>
  </si>
  <si>
    <t>Organization of Cultural/ Sports/ Educational Activities</t>
  </si>
  <si>
    <t>SUB-TOTAL:</t>
  </si>
  <si>
    <t>KGBV</t>
  </si>
  <si>
    <t>DLO/SLO</t>
  </si>
  <si>
    <t xml:space="preserve">Capacity Building under DISE including printing of DCF </t>
  </si>
  <si>
    <t>Rate Contract/Limited Tender</t>
  </si>
  <si>
    <t xml:space="preserve">Inclusive Education </t>
  </si>
  <si>
    <t>(a) Equipment/Furniture</t>
  </si>
  <si>
    <t xml:space="preserve">(b) Food/Medicine  </t>
  </si>
  <si>
    <t>(b) Refreshment Charges (@Rs.30/-)</t>
  </si>
  <si>
    <t>Rate Contract/ Limited Tender</t>
  </si>
  <si>
    <t>Office Contingencies/Stationary for DPOs and SPO</t>
  </si>
  <si>
    <t>LEP</t>
  </si>
  <si>
    <t xml:space="preserve">(a) Printing of Learning Facilitation Mannual - Primary &amp; Upper Primary </t>
  </si>
  <si>
    <t>(c) CCE- Teacher Report Card</t>
  </si>
  <si>
    <t xml:space="preserve">Number of Teacher </t>
  </si>
  <si>
    <t>(b) CCE-Child Report Card/Child Port Folio</t>
  </si>
  <si>
    <t>GRAND TOTAL:</t>
  </si>
  <si>
    <t>1</t>
  </si>
  <si>
    <t>2</t>
  </si>
  <si>
    <t>5</t>
  </si>
  <si>
    <t>1-2</t>
  </si>
  <si>
    <t>3-4</t>
  </si>
  <si>
    <t>1-6</t>
  </si>
  <si>
    <t>6</t>
  </si>
  <si>
    <t>3-5</t>
  </si>
  <si>
    <t>By SLO</t>
  </si>
  <si>
    <t>Name of District : Gaya</t>
  </si>
  <si>
    <t>(c) TLM</t>
  </si>
  <si>
    <t>1/6</t>
  </si>
  <si>
    <t>Name of District : Darbhanga</t>
  </si>
  <si>
    <t>Name of District : Aurangabad</t>
  </si>
  <si>
    <t>Name of District : Banka</t>
  </si>
  <si>
    <t>Name of District : Bhagalpur</t>
  </si>
  <si>
    <t>Name of District : Bhojpur</t>
  </si>
  <si>
    <t>Name of District : East Champaran</t>
  </si>
  <si>
    <t>Name of District : Gopalganj</t>
  </si>
  <si>
    <t>Name of District : Kaimur</t>
  </si>
  <si>
    <t>Name of District : Khagaria</t>
  </si>
  <si>
    <t>Name of District : Lakhisarai</t>
  </si>
  <si>
    <t>Name of District : Madhubani</t>
  </si>
  <si>
    <t>Name of District : Nalanda</t>
  </si>
  <si>
    <t>Name of District : Rohtas</t>
  </si>
  <si>
    <t>Name of District : Saran</t>
  </si>
  <si>
    <t>Name of District : Sheohar</t>
  </si>
  <si>
    <t>Name of District : Sitamarhi</t>
  </si>
  <si>
    <t>Name of District : Supaul</t>
  </si>
  <si>
    <t>Name of District : West Champaran</t>
  </si>
  <si>
    <t>Number of Trainee</t>
  </si>
  <si>
    <t xml:space="preserve">Innovative Activity </t>
  </si>
  <si>
    <t>(a) Purchase of POL for Generator under CAL</t>
  </si>
  <si>
    <t>(b) Procurement of E-TLMs including W/s under CAL</t>
  </si>
  <si>
    <t xml:space="preserve">Procurement of Hardware/Software </t>
  </si>
  <si>
    <t>(e)</t>
  </si>
  <si>
    <t>Office Furnishing -SPO</t>
  </si>
  <si>
    <t>SPO</t>
  </si>
  <si>
    <t>(d) CCE - School Report Card</t>
  </si>
  <si>
    <t>(e) Bridge Material (P)</t>
  </si>
  <si>
    <t>(f) Bridge Material (UP)</t>
  </si>
  <si>
    <t>All Girls (Class I - II)</t>
  </si>
  <si>
    <t>SC Boys (Class I, II, VI,VII,VIII)</t>
  </si>
  <si>
    <t>ST Boys  (Class I, II, VI,VII,VIII)</t>
  </si>
  <si>
    <t>BPL Boys  (Class I, II, VI,VII,VIII)</t>
  </si>
  <si>
    <t xml:space="preserve">Special Training  </t>
  </si>
  <si>
    <t xml:space="preserve"> Residential Course - 9 Months (Continuing)</t>
  </si>
  <si>
    <t xml:space="preserve"> Residential Course - 6 Months (Continuing)</t>
  </si>
  <si>
    <t>Residential Course - 6 Months (Fresh)</t>
  </si>
  <si>
    <t xml:space="preserve"> Residential Course - 12 Months (Fresh)</t>
  </si>
  <si>
    <t xml:space="preserve"> Residential Course - 12 Months (Continuing)</t>
  </si>
  <si>
    <t xml:space="preserve"> Non Residential Course - 12 Months (Fresh)</t>
  </si>
  <si>
    <t xml:space="preserve"> Non Residential Course - 9 Months (Fresh)</t>
  </si>
  <si>
    <t>Non Residential Course - 6 Months (Fresh)</t>
  </si>
  <si>
    <t xml:space="preserve"> Non Residential Course - 12 Months (Continuing)</t>
  </si>
  <si>
    <t xml:space="preserve"> Non Residential Course - 6 Months (Continuing)</t>
  </si>
  <si>
    <t xml:space="preserve"> Non Residential Course - 9 Months (Continuing)</t>
  </si>
  <si>
    <r>
      <t xml:space="preserve"> Residential Course - 9 Months </t>
    </r>
    <r>
      <rPr>
        <b/>
        <sz val="10"/>
        <rFont val="Times New Roman"/>
        <family val="1"/>
      </rPr>
      <t>(Fresh)</t>
    </r>
  </si>
  <si>
    <t>Total (Special Training)</t>
  </si>
  <si>
    <t>Name of District : ARARIA</t>
  </si>
  <si>
    <t>I</t>
  </si>
  <si>
    <t>II</t>
  </si>
  <si>
    <t>III</t>
  </si>
  <si>
    <t>IV</t>
  </si>
  <si>
    <t>V</t>
  </si>
  <si>
    <t>VI</t>
  </si>
  <si>
    <t>VII</t>
  </si>
  <si>
    <t>VIII</t>
  </si>
  <si>
    <t>(a) Text books (Primary)</t>
  </si>
  <si>
    <t>(b) Text books (Upper Primary)</t>
  </si>
  <si>
    <t xml:space="preserve">(C) Braille Books for Disabled Children </t>
  </si>
  <si>
    <t xml:space="preserve">(d) Development/Printing of Training Module </t>
  </si>
  <si>
    <t xml:space="preserve"> Total (Fresh)</t>
  </si>
  <si>
    <t xml:space="preserve"> Total (Continuing)</t>
  </si>
  <si>
    <t>Total (Fresh)</t>
  </si>
  <si>
    <t>Total (Continuing)</t>
  </si>
  <si>
    <t>TOTAL</t>
  </si>
  <si>
    <t>Sub Total (Text Book)</t>
  </si>
  <si>
    <t>Name of District : Arwal</t>
  </si>
  <si>
    <t>Name of District : Begusarai</t>
  </si>
  <si>
    <t>Name of District : Buxar</t>
  </si>
  <si>
    <t>Name of District : Jamui</t>
  </si>
  <si>
    <t>Name of District : Jehanabad</t>
  </si>
  <si>
    <t>Name of District : Katihar</t>
  </si>
  <si>
    <t>Name of District : Kishanganj</t>
  </si>
  <si>
    <t>Name of District : Madhepura</t>
  </si>
  <si>
    <t>Name of District : Munger</t>
  </si>
  <si>
    <t>Name of District : Muzafferpur</t>
  </si>
  <si>
    <t>Name of District : Nawada</t>
  </si>
  <si>
    <t>Name of District : Patna ( R)</t>
  </si>
  <si>
    <t>Name of District : Patna ( U)</t>
  </si>
  <si>
    <t>Name of District : Purnia</t>
  </si>
  <si>
    <t>Name of District : Saharsha</t>
  </si>
  <si>
    <t>Name of District : Samastipur</t>
  </si>
  <si>
    <t>Name of District : Sheikhpura</t>
  </si>
  <si>
    <t>Name of District : Siwan</t>
  </si>
  <si>
    <t>Name of District : Vaishali</t>
  </si>
  <si>
    <t>Name of District : State Component</t>
  </si>
  <si>
    <t xml:space="preserve"> Residential Course - 3&amp;6 Months (Continuing)</t>
  </si>
  <si>
    <t xml:space="preserve"> Residential Course -3&amp; 6 Months (Continuing)</t>
  </si>
  <si>
    <t>Procurement Schedule for Goods under SSA AND KGBV for the year 2014-15</t>
  </si>
  <si>
    <t>Office Furnishing &amp; Alteration  -SPO</t>
  </si>
  <si>
    <t>Non Residential Course -3&amp; 6 Months (Fresh)</t>
  </si>
  <si>
    <t>Non Residential Course - 3&amp;6 Months (Fresh)</t>
  </si>
  <si>
    <t xml:space="preserve">Please refer district procurement sheet </t>
  </si>
  <si>
    <t xml:space="preserve">Please refer district &amp; SPO procurement sheet </t>
  </si>
  <si>
    <t>STATE TOTAL  :All District &amp; SPO</t>
  </si>
  <si>
    <t>Office Contingencies/ Stationary for DPOs and SPO</t>
  </si>
  <si>
    <t>Procurement Action 2014-15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</si>
</sst>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\$* #,##0_-;&quot;-$&quot;* #,##0_-;_-\$* \-_-;_-@_-"/>
    <numFmt numFmtId="168" formatCode="\\#,##0.00;[Red]&quot;\-&quot;#,##0.00"/>
    <numFmt numFmtId="169" formatCode="_ &quot;रु&quot;\ * #,##0.00_ ;_ &quot;रु&quot;\ * \-#,##0.00_ ;_ &quot;रु&quot;\ * &quot;-&quot;??_ ;_ @_ "/>
    <numFmt numFmtId="170" formatCode="&quot;$&quot;#,##0.00;[Red]\-&quot;$&quot;#,##0.00"/>
    <numFmt numFmtId="171" formatCode="_-* #,##0.00\ &quot;€&quot;_-;\-* #,##0.00\ &quot;€&quot;_-;_-* &quot;-&quot;??\ &quot;€&quot;_-;_-@_-"/>
    <numFmt numFmtId="172" formatCode="_-* #,##0\ _F_-;\-* #,##0\ _F_-;_-* &quot;-&quot;\ _F_-;_-@_-"/>
    <numFmt numFmtId="173" formatCode="_-* #,##0.00\ _F_-;\-* #,##0.00\ _F_-;_-* &quot;-&quot;??\ _F_-;_-@_-"/>
    <numFmt numFmtId="174" formatCode="#,##0.00000000;[Red]\-#,##0.00000000"/>
    <numFmt numFmtId="175" formatCode="mm/dd/yy"/>
    <numFmt numFmtId="176" formatCode="_ &quot;Fr.&quot;\ * #,##0_ ;_ &quot;Fr.&quot;\ * \-#,##0_ ;_ &quot;Fr.&quot;\ * &quot;-&quot;_ ;_ @_ "/>
    <numFmt numFmtId="177" formatCode="_ &quot;Fr.&quot;\ * #,##0.00_ ;_ &quot;Fr.&quot;\ * \-#,##0.00_ ;_ &quot;Fr.&quot;\ * &quot;-&quot;??_ ;_ @_ 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&quot;\&quot;#,##0.00;[Red]&quot;\&quot;\-#,##0.00"/>
    <numFmt numFmtId="181" formatCode="&quot;\&quot;#,##0;[Red]&quot;\&quot;\-#,##0"/>
    <numFmt numFmtId="182" formatCode="_ * #,##0.000_ ;_ * \-#,##0.000_ ;_ * &quot;-&quot;??_ ;_ @_ "/>
    <numFmt numFmtId="183" formatCode="0.000"/>
    <numFmt numFmtId="184" formatCode="0.00_ ;\-0.00\ "/>
  </numFmts>
  <fonts count="6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69">
    <xf numFmtId="0" fontId="0" fillId="0" borderId="0"/>
    <xf numFmtId="0" fontId="13" fillId="0" borderId="0"/>
    <xf numFmtId="167" fontId="13" fillId="0" borderId="0"/>
    <xf numFmtId="168" fontId="13" fillId="0" borderId="0"/>
    <xf numFmtId="10" fontId="13" fillId="0" borderId="0"/>
    <xf numFmtId="0" fontId="14" fillId="0" borderId="0"/>
    <xf numFmtId="0" fontId="15" fillId="0" borderId="0"/>
    <xf numFmtId="0" fontId="16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3" fillId="0" borderId="0"/>
    <xf numFmtId="0" fontId="13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3" fontId="20" fillId="0" borderId="0"/>
    <xf numFmtId="0" fontId="21" fillId="0" borderId="0" applyNumberFormat="0" applyFill="0" applyBorder="0" applyAlignment="0" applyProtection="0"/>
    <xf numFmtId="164" fontId="22" fillId="0" borderId="23" applyAlignment="0" applyProtection="0"/>
    <xf numFmtId="0" fontId="18" fillId="0" borderId="0"/>
    <xf numFmtId="0" fontId="23" fillId="0" borderId="0"/>
    <xf numFmtId="0" fontId="18" fillId="0" borderId="0"/>
    <xf numFmtId="0" fontId="24" fillId="0" borderId="0" applyFill="0" applyBorder="0" applyAlignment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5" fillId="12" borderId="28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0" fontId="26" fillId="20" borderId="29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27" fillId="0" borderId="0" applyNumberFormat="0" applyAlignment="0">
      <alignment horizontal="left"/>
    </xf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8" fillId="0" borderId="0" applyNumberFormat="0" applyAlignment="0">
      <alignment horizontal="left"/>
    </xf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38" fontId="31" fillId="21" borderId="0" applyNumberFormat="0" applyBorder="0" applyAlignment="0" applyProtection="0"/>
    <xf numFmtId="0" fontId="32" fillId="22" borderId="0"/>
    <xf numFmtId="0" fontId="33" fillId="0" borderId="30" applyNumberFormat="0" applyAlignment="0" applyProtection="0">
      <alignment horizontal="left" vertical="center"/>
    </xf>
    <xf numFmtId="0" fontId="33" fillId="0" borderId="14">
      <alignment horizontal="left" vertical="center"/>
    </xf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0" fontId="31" fillId="23" borderId="1" applyNumberFormat="0" applyBorder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8" fillId="10" borderId="28" applyNumberFormat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0" fillId="0" borderId="0">
      <alignment horizontal="justify" vertical="top" wrapText="1"/>
    </xf>
    <xf numFmtId="0" fontId="40" fillId="0" borderId="0">
      <alignment horizontal="justify" vertical="justify" wrapText="1"/>
    </xf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37" fontId="42" fillId="0" borderId="0"/>
    <xf numFmtId="0" fontId="43" fillId="0" borderId="0"/>
    <xf numFmtId="0" fontId="24" fillId="0" borderId="0"/>
    <xf numFmtId="174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44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13" fillId="6" borderId="35" applyNumberFormat="0" applyFon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0" fontId="45" fillId="12" borderId="36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46" fillId="0" borderId="0"/>
    <xf numFmtId="175" fontId="47" fillId="0" borderId="0" applyNumberFormat="0" applyFill="0" applyBorder="0" applyAlignment="0" applyProtection="0">
      <alignment horizontal="left"/>
    </xf>
    <xf numFmtId="40" fontId="48" fillId="0" borderId="0" applyBorder="0">
      <alignment horizontal="righ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0" fontId="1" fillId="0" borderId="37" applyNumberFormat="0" applyFill="0" applyAlignment="0" applyProtection="0"/>
    <xf numFmtId="17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52" fillId="0" borderId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54" fillId="0" borderId="0"/>
    <xf numFmtId="43" fontId="55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3" fillId="0" borderId="1" xfId="0" quotePrefix="1" applyNumberFormat="1" applyFon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3" fontId="0" fillId="0" borderId="0" xfId="1468" applyFont="1" applyBorder="1" applyAlignment="1">
      <alignment vertical="center" wrapText="1"/>
    </xf>
    <xf numFmtId="43" fontId="0" fillId="0" borderId="1" xfId="1468" applyFont="1" applyBorder="1" applyAlignment="1">
      <alignment horizontal="right" vertical="center" wrapText="1"/>
    </xf>
    <xf numFmtId="43" fontId="3" fillId="0" borderId="1" xfId="1468" applyFont="1" applyBorder="1" applyAlignment="1">
      <alignment horizontal="right" vertical="center" wrapText="1"/>
    </xf>
    <xf numFmtId="43" fontId="3" fillId="0" borderId="1" xfId="1468" applyFont="1" applyBorder="1" applyAlignment="1">
      <alignment vertical="center" wrapText="1"/>
    </xf>
    <xf numFmtId="43" fontId="0" fillId="0" borderId="1" xfId="1468" applyFont="1" applyBorder="1" applyAlignment="1">
      <alignment vertical="center" wrapText="1"/>
    </xf>
    <xf numFmtId="43" fontId="10" fillId="0" borderId="1" xfId="1468" applyFont="1" applyBorder="1" applyAlignment="1">
      <alignment vertical="center"/>
    </xf>
    <xf numFmtId="43" fontId="10" fillId="0" borderId="1" xfId="1468" applyFont="1" applyBorder="1"/>
    <xf numFmtId="43" fontId="0" fillId="0" borderId="0" xfId="1468" applyFont="1" applyAlignment="1">
      <alignment vertical="center" wrapText="1"/>
    </xf>
    <xf numFmtId="43" fontId="0" fillId="0" borderId="1" xfId="1468" applyFont="1" applyFill="1" applyBorder="1" applyAlignment="1">
      <alignment horizontal="right" vertical="center" wrapText="1"/>
    </xf>
    <xf numFmtId="43" fontId="0" fillId="2" borderId="1" xfId="1468" applyFont="1" applyFill="1" applyBorder="1" applyAlignment="1">
      <alignment horizontal="right" vertical="center" wrapText="1"/>
    </xf>
    <xf numFmtId="43" fontId="3" fillId="2" borderId="1" xfId="1468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43" fontId="10" fillId="2" borderId="1" xfId="1468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468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43" fontId="0" fillId="0" borderId="1" xfId="1468" applyNumberFormat="1" applyFont="1" applyFill="1" applyBorder="1" applyAlignment="1">
      <alignment horizontal="right" vertical="center" wrapText="1"/>
    </xf>
    <xf numFmtId="0" fontId="8" fillId="0" borderId="1" xfId="1468" applyNumberFormat="1" applyFont="1" applyBorder="1" applyAlignment="1">
      <alignment horizontal="center" vertical="center" wrapText="1"/>
    </xf>
    <xf numFmtId="43" fontId="55" fillId="0" borderId="1" xfId="1468" applyFont="1" applyBorder="1" applyAlignment="1">
      <alignment horizontal="right" vertical="center" wrapText="1"/>
    </xf>
    <xf numFmtId="43" fontId="10" fillId="0" borderId="0" xfId="1468" applyFont="1" applyAlignment="1">
      <alignment vertical="center"/>
    </xf>
    <xf numFmtId="43" fontId="3" fillId="2" borderId="1" xfId="1468" applyFont="1" applyFill="1" applyBorder="1" applyAlignment="1">
      <alignment vertical="center" wrapText="1"/>
    </xf>
    <xf numFmtId="43" fontId="57" fillId="2" borderId="1" xfId="1468" applyFont="1" applyFill="1" applyBorder="1" applyAlignment="1">
      <alignment vertical="center"/>
    </xf>
    <xf numFmtId="43" fontId="55" fillId="2" borderId="1" xfId="1468" applyFont="1" applyFill="1" applyBorder="1" applyAlignment="1">
      <alignment vertical="center" wrapText="1"/>
    </xf>
    <xf numFmtId="43" fontId="3" fillId="0" borderId="1" xfId="1468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0" fontId="3" fillId="2" borderId="1" xfId="1468" applyNumberFormat="1" applyFont="1" applyFill="1" applyBorder="1" applyAlignment="1">
      <alignment horizontal="center" vertical="center" wrapText="1"/>
    </xf>
    <xf numFmtId="0" fontId="10" fillId="2" borderId="1" xfId="1468" applyNumberFormat="1" applyFont="1" applyFill="1" applyBorder="1" applyAlignment="1">
      <alignment horizontal="center" vertical="center"/>
    </xf>
    <xf numFmtId="43" fontId="8" fillId="0" borderId="1" xfId="1468" applyNumberFormat="1" applyFont="1" applyBorder="1" applyAlignment="1">
      <alignment horizontal="center" vertical="center" wrapText="1"/>
    </xf>
    <xf numFmtId="43" fontId="55" fillId="2" borderId="1" xfId="1468" applyFont="1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3" fontId="0" fillId="2" borderId="1" xfId="1468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1" fontId="0" fillId="24" borderId="1" xfId="0" applyNumberFormat="1" applyFont="1" applyFill="1" applyBorder="1" applyAlignment="1">
      <alignment horizontal="center" vertical="center" wrapText="1"/>
    </xf>
    <xf numFmtId="43" fontId="55" fillId="24" borderId="1" xfId="1468" applyFont="1" applyFill="1" applyBorder="1" applyAlignment="1">
      <alignment horizontal="center" vertical="center" wrapText="1"/>
    </xf>
    <xf numFmtId="43" fontId="55" fillId="24" borderId="1" xfId="1468" applyFont="1" applyFill="1" applyBorder="1" applyAlignment="1">
      <alignment vertical="center" wrapText="1"/>
    </xf>
    <xf numFmtId="0" fontId="3" fillId="24" borderId="1" xfId="1468" applyNumberFormat="1" applyFont="1" applyFill="1" applyBorder="1" applyAlignment="1">
      <alignment horizontal="center" vertical="center" wrapText="1"/>
    </xf>
    <xf numFmtId="43" fontId="3" fillId="24" borderId="1" xfId="1468" applyFont="1" applyFill="1" applyBorder="1" applyAlignment="1">
      <alignment vertical="center" wrapText="1"/>
    </xf>
    <xf numFmtId="0" fontId="0" fillId="24" borderId="1" xfId="0" applyFill="1" applyBorder="1" applyAlignment="1">
      <alignment horizontal="center" vertical="center" wrapText="1"/>
    </xf>
    <xf numFmtId="1" fontId="0" fillId="24" borderId="1" xfId="0" applyNumberFormat="1" applyFill="1" applyBorder="1" applyAlignment="1">
      <alignment horizontal="center" vertical="center" wrapText="1"/>
    </xf>
    <xf numFmtId="0" fontId="10" fillId="24" borderId="1" xfId="1468" applyNumberFormat="1" applyFont="1" applyFill="1" applyBorder="1" applyAlignment="1">
      <alignment horizontal="center" vertical="center"/>
    </xf>
    <xf numFmtId="43" fontId="10" fillId="24" borderId="1" xfId="1468" applyFont="1" applyFill="1" applyBorder="1" applyAlignment="1">
      <alignment vertical="center"/>
    </xf>
    <xf numFmtId="43" fontId="0" fillId="24" borderId="1" xfId="1468" applyFont="1" applyFill="1" applyBorder="1" applyAlignment="1">
      <alignment horizontal="right" vertical="center" wrapText="1"/>
    </xf>
    <xf numFmtId="1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43" fontId="3" fillId="24" borderId="1" xfId="1468" applyFont="1" applyFill="1" applyBorder="1" applyAlignment="1">
      <alignment horizontal="right" vertical="center" wrapText="1"/>
    </xf>
    <xf numFmtId="43" fontId="0" fillId="24" borderId="1" xfId="1468" applyFont="1" applyFill="1" applyBorder="1" applyAlignment="1">
      <alignment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0" fillId="24" borderId="1" xfId="0" applyFont="1" applyFill="1" applyBorder="1" applyAlignment="1">
      <alignment horizontal="center" vertical="center" wrapText="1"/>
    </xf>
    <xf numFmtId="43" fontId="57" fillId="24" borderId="1" xfId="1468" applyFont="1" applyFill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43" fontId="55" fillId="24" borderId="1" xfId="1468" applyFont="1" applyFill="1" applyBorder="1" applyAlignment="1">
      <alignment horizontal="right" vertical="center" wrapText="1"/>
    </xf>
    <xf numFmtId="182" fontId="0" fillId="2" borderId="1" xfId="1468" applyNumberFormat="1" applyFont="1" applyFill="1" applyBorder="1" applyAlignment="1">
      <alignment horizontal="right" vertical="center" wrapText="1"/>
    </xf>
    <xf numFmtId="43" fontId="0" fillId="24" borderId="1" xfId="1468" applyNumberFormat="1" applyFont="1" applyFill="1" applyBorder="1" applyAlignment="1">
      <alignment horizontal="right" vertical="center" wrapText="1"/>
    </xf>
    <xf numFmtId="2" fontId="3" fillId="24" borderId="1" xfId="0" applyNumberFormat="1" applyFont="1" applyFill="1" applyBorder="1" applyAlignment="1">
      <alignment horizontal="right" vertical="center" wrapText="1"/>
    </xf>
    <xf numFmtId="0" fontId="3" fillId="24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43" fontId="0" fillId="2" borderId="0" xfId="1468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3" fillId="2" borderId="1" xfId="146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0" fillId="2" borderId="0" xfId="0" applyNumberFormat="1" applyFill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3" fontId="0" fillId="2" borderId="1" xfId="1468" applyNumberFormat="1" applyFont="1" applyFill="1" applyBorder="1" applyAlignment="1">
      <alignment horizontal="right" vertical="center" wrapText="1"/>
    </xf>
    <xf numFmtId="16" fontId="3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3" fontId="55" fillId="2" borderId="1" xfId="1468" applyFont="1" applyFill="1" applyBorder="1" applyAlignment="1">
      <alignment horizontal="right" vertical="center" wrapText="1"/>
    </xf>
    <xf numFmtId="43" fontId="7" fillId="2" borderId="1" xfId="1468" applyNumberFormat="1" applyFont="1" applyFill="1" applyBorder="1" applyAlignment="1">
      <alignment horizontal="right" vertical="center" wrapText="1"/>
    </xf>
    <xf numFmtId="43" fontId="61" fillId="2" borderId="1" xfId="1468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0" fillId="2" borderId="10" xfId="0" applyNumberFormat="1" applyFill="1" applyBorder="1" applyAlignment="1">
      <alignment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" xfId="0" quotePrefix="1" applyNumberFormat="1" applyFill="1" applyBorder="1" applyAlignment="1">
      <alignment horizontal="center" vertical="center" wrapText="1"/>
    </xf>
    <xf numFmtId="43" fontId="10" fillId="2" borderId="0" xfId="1468" applyFont="1" applyFill="1" applyAlignment="1">
      <alignment vertical="center"/>
    </xf>
    <xf numFmtId="43" fontId="0" fillId="2" borderId="1" xfId="1468" applyFont="1" applyFill="1" applyBorder="1" applyAlignment="1">
      <alignment vertical="center" wrapText="1"/>
    </xf>
    <xf numFmtId="43" fontId="10" fillId="2" borderId="1" xfId="1468" applyFont="1" applyFill="1" applyBorder="1"/>
    <xf numFmtId="0" fontId="0" fillId="2" borderId="1" xfId="0" applyFont="1" applyFill="1" applyBorder="1" applyAlignment="1">
      <alignment vertical="center" wrapText="1"/>
    </xf>
    <xf numFmtId="49" fontId="0" fillId="2" borderId="15" xfId="0" applyNumberForma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22" xfId="0" applyNumberFormat="1" applyFill="1" applyBorder="1" applyAlignment="1">
      <alignment vertical="center" wrapText="1"/>
    </xf>
    <xf numFmtId="49" fontId="0" fillId="2" borderId="23" xfId="0" applyNumberFormat="1" applyFill="1" applyBorder="1" applyAlignment="1">
      <alignment vertical="center" wrapText="1"/>
    </xf>
    <xf numFmtId="49" fontId="0" fillId="2" borderId="26" xfId="0" applyNumberFormat="1" applyFill="1" applyBorder="1" applyAlignment="1">
      <alignment vertical="center" wrapText="1"/>
    </xf>
    <xf numFmtId="49" fontId="0" fillId="2" borderId="38" xfId="0" applyNumberFormat="1" applyFill="1" applyBorder="1" applyAlignment="1">
      <alignment vertical="center" wrapText="1"/>
    </xf>
    <xf numFmtId="49" fontId="0" fillId="2" borderId="27" xfId="0" applyNumberFormat="1" applyFill="1" applyBorder="1" applyAlignment="1">
      <alignment vertical="center" wrapText="1"/>
    </xf>
    <xf numFmtId="49" fontId="0" fillId="2" borderId="39" xfId="0" applyNumberForma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468" applyNumberFormat="1" applyFont="1" applyFill="1" applyBorder="1" applyAlignment="1">
      <alignment horizontal="center" vertical="center" wrapText="1"/>
    </xf>
    <xf numFmtId="43" fontId="8" fillId="2" borderId="1" xfId="1468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3" fontId="0" fillId="2" borderId="0" xfId="1468" applyFont="1" applyFill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1468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3" fontId="6" fillId="2" borderId="1" xfId="1468" applyFont="1" applyFill="1" applyBorder="1" applyAlignment="1">
      <alignment horizontal="right" vertical="center" wrapText="1"/>
    </xf>
    <xf numFmtId="43" fontId="60" fillId="2" borderId="1" xfId="1468" applyFont="1" applyFill="1" applyBorder="1" applyAlignment="1">
      <alignment vertical="center"/>
    </xf>
    <xf numFmtId="43" fontId="59" fillId="2" borderId="1" xfId="1468" applyFont="1" applyFill="1" applyBorder="1" applyAlignment="1">
      <alignment vertical="center"/>
    </xf>
    <xf numFmtId="49" fontId="0" fillId="2" borderId="15" xfId="0" quotePrefix="1" applyNumberFormat="1" applyFill="1" applyBorder="1" applyAlignment="1">
      <alignment horizontal="center" vertical="center" wrapText="1"/>
    </xf>
    <xf numFmtId="43" fontId="57" fillId="2" borderId="1" xfId="1468" applyFont="1" applyFill="1" applyBorder="1"/>
    <xf numFmtId="183" fontId="3" fillId="2" borderId="1" xfId="0" applyNumberFormat="1" applyFont="1" applyFill="1" applyBorder="1" applyAlignment="1">
      <alignment horizontal="right" vertical="center" wrapText="1"/>
    </xf>
    <xf numFmtId="43" fontId="57" fillId="2" borderId="0" xfId="1468" applyFont="1" applyFill="1" applyAlignment="1">
      <alignment vertical="center"/>
    </xf>
    <xf numFmtId="49" fontId="0" fillId="2" borderId="24" xfId="0" applyNumberForma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  <xf numFmtId="49" fontId="0" fillId="2" borderId="25" xfId="0" applyNumberFormat="1" applyFill="1" applyBorder="1" applyAlignment="1">
      <alignment vertical="center" wrapText="1"/>
    </xf>
    <xf numFmtId="184" fontId="0" fillId="0" borderId="1" xfId="1468" applyNumberFormat="1" applyFont="1" applyFill="1" applyBorder="1" applyAlignment="1">
      <alignment horizontal="right" vertical="center" wrapText="1"/>
    </xf>
    <xf numFmtId="2" fontId="8" fillId="0" borderId="1" xfId="1468" applyNumberFormat="1" applyFont="1" applyBorder="1" applyAlignment="1">
      <alignment horizontal="right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6" xfId="0" applyNumberFormat="1" applyFill="1" applyBorder="1" applyAlignment="1">
      <alignment horizontal="center" vertical="center" wrapText="1"/>
    </xf>
    <xf numFmtId="49" fontId="0" fillId="2" borderId="24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49" fontId="0" fillId="2" borderId="38" xfId="0" applyNumberForma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39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3" fontId="3" fillId="2" borderId="1" xfId="1468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4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58" fillId="2" borderId="9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 vertical="center" wrapText="1"/>
    </xf>
    <xf numFmtId="0" fontId="58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24" borderId="1" xfId="0" applyFont="1" applyFill="1" applyBorder="1" applyAlignment="1">
      <alignment horizontal="center" vertical="center" wrapText="1"/>
    </xf>
    <xf numFmtId="0" fontId="0" fillId="24" borderId="9" xfId="0" applyFill="1" applyBorder="1" applyAlignment="1">
      <alignment horizontal="center" vertical="center" wrapText="1"/>
    </xf>
    <xf numFmtId="0" fontId="0" fillId="24" borderId="40" xfId="0" applyFill="1" applyBorder="1" applyAlignment="1">
      <alignment horizontal="center" vertical="center" wrapText="1"/>
    </xf>
    <xf numFmtId="0" fontId="0" fillId="24" borderId="2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8" fillId="24" borderId="9" xfId="0" applyFont="1" applyFill="1" applyBorder="1" applyAlignment="1">
      <alignment horizontal="center" vertical="center" wrapText="1"/>
    </xf>
    <xf numFmtId="0" fontId="58" fillId="24" borderId="40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4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3" fontId="3" fillId="0" borderId="1" xfId="1468" applyFont="1" applyBorder="1" applyAlignment="1">
      <alignment horizontal="center" vertical="center" wrapText="1"/>
    </xf>
    <xf numFmtId="49" fontId="0" fillId="0" borderId="23" xfId="0" quotePrefix="1" applyNumberFormat="1" applyBorder="1" applyAlignment="1">
      <alignment horizontal="center" vertical="center" wrapText="1"/>
    </xf>
    <xf numFmtId="49" fontId="0" fillId="0" borderId="26" xfId="0" quotePrefix="1" applyNumberFormat="1" applyBorder="1" applyAlignment="1">
      <alignment horizontal="center" vertical="center" wrapText="1"/>
    </xf>
    <xf numFmtId="49" fontId="0" fillId="0" borderId="38" xfId="0" quotePrefix="1" applyNumberFormat="1" applyBorder="1" applyAlignment="1">
      <alignment horizontal="center" vertical="center" wrapText="1"/>
    </xf>
    <xf numFmtId="49" fontId="0" fillId="0" borderId="27" xfId="0" quotePrefix="1" applyNumberFormat="1" applyBorder="1" applyAlignment="1">
      <alignment horizontal="center" vertical="center" wrapText="1"/>
    </xf>
    <xf numFmtId="49" fontId="0" fillId="0" borderId="39" xfId="0" quotePrefix="1" applyNumberForma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" fontId="3" fillId="0" borderId="22" xfId="0" applyNumberFormat="1" applyFont="1" applyBorder="1" applyAlignment="1">
      <alignment horizontal="center" vertical="center" wrapText="1"/>
    </xf>
    <xf numFmtId="16" fontId="3" fillId="0" borderId="23" xfId="0" quotePrefix="1" applyNumberFormat="1" applyFont="1" applyBorder="1" applyAlignment="1">
      <alignment horizontal="center" vertical="center" wrapText="1"/>
    </xf>
    <xf numFmtId="16" fontId="3" fillId="0" borderId="26" xfId="0" quotePrefix="1" applyNumberFormat="1" applyFont="1" applyBorder="1" applyAlignment="1">
      <alignment horizontal="center" vertical="center" wrapText="1"/>
    </xf>
    <xf numFmtId="16" fontId="3" fillId="0" borderId="38" xfId="0" quotePrefix="1" applyNumberFormat="1" applyFont="1" applyBorder="1" applyAlignment="1">
      <alignment horizontal="center" vertical="center" wrapText="1"/>
    </xf>
    <xf numFmtId="16" fontId="3" fillId="0" borderId="27" xfId="0" quotePrefix="1" applyNumberFormat="1" applyFont="1" applyBorder="1" applyAlignment="1">
      <alignment horizontal="center" vertical="center" wrapText="1"/>
    </xf>
    <xf numFmtId="16" fontId="3" fillId="0" borderId="39" xfId="0" quotePrefix="1" applyNumberFormat="1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  <xf numFmtId="0" fontId="58" fillId="0" borderId="40" xfId="0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469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" xfId="1468" builtinId="3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09" activePane="bottomRight" state="frozen"/>
      <selection activeCell="F49" sqref="F49"/>
      <selection pane="topRight" activeCell="F49" sqref="F49"/>
      <selection pane="bottomLeft" activeCell="F49" sqref="F49"/>
      <selection pane="bottomRight" activeCell="J118" sqref="J118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145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2233</v>
      </c>
      <c r="E17" s="95" t="s">
        <v>19</v>
      </c>
      <c r="F17" s="114">
        <f>2233*775/100000</f>
        <v>17.30575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2233</v>
      </c>
      <c r="E18" s="95" t="s">
        <v>19</v>
      </c>
      <c r="F18" s="33">
        <f>2233*11220/100000</f>
        <v>250.54259999999999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2233</v>
      </c>
      <c r="E19" s="95" t="s">
        <v>19</v>
      </c>
      <c r="F19" s="33">
        <f>2233*500/100000</f>
        <v>11.164999999999999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2233</v>
      </c>
      <c r="E24" s="95"/>
      <c r="F24" s="34">
        <f>SUM(F13:F23)</f>
        <v>279.01335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1500</v>
      </c>
      <c r="E34" s="95" t="s">
        <v>19</v>
      </c>
      <c r="F34" s="114">
        <v>86.25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1500</v>
      </c>
      <c r="E35" s="95" t="s">
        <v>19</v>
      </c>
      <c r="F35" s="33">
        <v>112.2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1500</v>
      </c>
      <c r="E36" s="95" t="s">
        <v>19</v>
      </c>
      <c r="F36" s="33">
        <v>7.5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1500</v>
      </c>
      <c r="E37" s="95"/>
      <c r="F37" s="34">
        <f>SUM(F26:F36)</f>
        <v>205.95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3852</v>
      </c>
      <c r="E43" s="95" t="s">
        <v>19</v>
      </c>
      <c r="F43" s="117">
        <v>2.58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3852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3852</v>
      </c>
      <c r="E45" s="95" t="s">
        <v>19</v>
      </c>
      <c r="F45" s="117">
        <v>19.260000000000002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0</v>
      </c>
      <c r="E47" s="95" t="s">
        <v>19</v>
      </c>
      <c r="F47" s="34">
        <v>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0</v>
      </c>
      <c r="E49" s="95" t="s">
        <v>19</v>
      </c>
      <c r="F49" s="34">
        <v>0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3852</v>
      </c>
      <c r="E50" s="95"/>
      <c r="F50" s="34">
        <f>SUM(F39:F49)</f>
        <v>21.840000000000003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7585</v>
      </c>
      <c r="E64" s="106"/>
      <c r="F64" s="120">
        <f>+F63+F50+F37+F24</f>
        <v>506.80335000000002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17604</v>
      </c>
      <c r="E66" s="121" t="s">
        <v>19</v>
      </c>
      <c r="F66" s="33">
        <f>D66*0.0003</f>
        <v>5.2811999999999992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17604</v>
      </c>
      <c r="E67" s="95" t="s">
        <v>78</v>
      </c>
      <c r="F67" s="33">
        <f>D67*0.0003</f>
        <v>5.2811999999999992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17604</v>
      </c>
      <c r="E68" s="106"/>
      <c r="F68" s="34">
        <f>SUM(F66:F67)</f>
        <v>10.562399999999998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88810</v>
      </c>
      <c r="E69" s="204" t="s">
        <v>17</v>
      </c>
      <c r="F69" s="63">
        <v>133.215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90937</v>
      </c>
      <c r="E70" s="205"/>
      <c r="F70" s="56">
        <v>136.40549999999999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88394</v>
      </c>
      <c r="E71" s="205"/>
      <c r="F71" s="56">
        <v>132.59100000000001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85743</v>
      </c>
      <c r="E72" s="205"/>
      <c r="F72" s="56">
        <v>128.61449999999999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82026</v>
      </c>
      <c r="E73" s="206"/>
      <c r="F73" s="56">
        <v>123.039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435910</v>
      </c>
      <c r="E74" s="95"/>
      <c r="F74" s="54">
        <f>F69+F70+F71+F72+F73</f>
        <v>653.86500000000001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51259</v>
      </c>
      <c r="E75" s="204" t="s">
        <v>17</v>
      </c>
      <c r="F75" s="54">
        <v>128.14750000000001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45662</v>
      </c>
      <c r="E76" s="205"/>
      <c r="F76" s="54">
        <v>114.155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34425</v>
      </c>
      <c r="E77" s="206"/>
      <c r="F77" s="55">
        <v>86.0625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131346</v>
      </c>
      <c r="E78" s="95"/>
      <c r="F78" s="36">
        <f>F75+F76+F77</f>
        <v>328.36500000000001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567256</v>
      </c>
      <c r="E82" s="106"/>
      <c r="F82" s="120">
        <f>F81+F78+F74</f>
        <v>982.23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567256</v>
      </c>
      <c r="E85" s="172"/>
      <c r="F85" s="33">
        <v>141.81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9310</v>
      </c>
      <c r="E86" s="172"/>
      <c r="F86" s="33">
        <v>1.4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2872</v>
      </c>
      <c r="E87" s="172"/>
      <c r="F87" s="33">
        <v>0.43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2872</v>
      </c>
      <c r="E88" s="172"/>
      <c r="F88" s="33">
        <v>21.54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741</v>
      </c>
      <c r="E89" s="173"/>
      <c r="F89" s="33">
        <v>7.41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583051</v>
      </c>
      <c r="E90" s="106"/>
      <c r="F90" s="34">
        <f>SUM(F84:F89)</f>
        <v>172.59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83758</v>
      </c>
      <c r="E91" s="193" t="s">
        <v>35</v>
      </c>
      <c r="F91" s="117">
        <v>335.03199999999998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25185</v>
      </c>
      <c r="E92" s="193"/>
      <c r="F92" s="117">
        <v>100.74000000000001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2687</v>
      </c>
      <c r="E93" s="193"/>
      <c r="F93" s="117">
        <v>10.748000000000001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94201</v>
      </c>
      <c r="E94" s="193"/>
      <c r="F94" s="117">
        <v>376.80400000000003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205831</v>
      </c>
      <c r="E95" s="106"/>
      <c r="F95" s="34">
        <f>SUM(F91:F94)</f>
        <v>823.32400000000007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2131</v>
      </c>
      <c r="E99" s="174" t="s">
        <v>19</v>
      </c>
      <c r="F99" s="33">
        <v>106.55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741</v>
      </c>
      <c r="E100" s="174"/>
      <c r="F100" s="33">
        <v>51.87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2872</v>
      </c>
      <c r="E101" s="106"/>
      <c r="F101" s="34">
        <f>SUM(F99:F100)</f>
        <v>158.41999999999999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2872</v>
      </c>
      <c r="E102" s="95" t="s">
        <v>19</v>
      </c>
      <c r="F102" s="33">
        <v>12.87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2872</v>
      </c>
      <c r="E103" s="106"/>
      <c r="F103" s="34">
        <f>F102</f>
        <v>12.87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2271</v>
      </c>
      <c r="E112" s="95" t="s">
        <v>19</v>
      </c>
      <c r="F112" s="135">
        <v>2.2709999999999999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2872</v>
      </c>
      <c r="E113" s="95" t="s">
        <v>21</v>
      </c>
      <c r="F113" s="135">
        <v>4.3079999999999998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9</v>
      </c>
      <c r="E114" s="95" t="s">
        <v>21</v>
      </c>
      <c r="F114" s="135">
        <v>16.2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5154</v>
      </c>
      <c r="E116" s="106"/>
      <c r="F116" s="34">
        <f>SUM(F112:F115)</f>
        <v>24.029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150</v>
      </c>
      <c r="E119" s="95" t="s">
        <v>19</v>
      </c>
      <c r="F119" s="135">
        <v>10.7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152</v>
      </c>
      <c r="E120" s="106"/>
      <c r="F120" s="54">
        <f>SUM(F118:F119)</f>
        <v>13.7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9</v>
      </c>
      <c r="E121" s="95" t="s">
        <v>19</v>
      </c>
      <c r="F121" s="135">
        <v>4.5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9</v>
      </c>
      <c r="E122" s="95" t="s">
        <v>19</v>
      </c>
      <c r="F122" s="135">
        <v>2.7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9</v>
      </c>
      <c r="E123" s="106"/>
      <c r="F123" s="54">
        <f>SUM(F121:F122)</f>
        <v>7.2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140</v>
      </c>
      <c r="E124" s="95" t="s">
        <v>19</v>
      </c>
      <c r="F124" s="135">
        <v>14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140</v>
      </c>
      <c r="E125" s="95" t="s">
        <v>19</v>
      </c>
      <c r="F125" s="135">
        <v>16.8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140</v>
      </c>
      <c r="E126" s="106"/>
      <c r="F126" s="54">
        <f>SUM(F124:F125)</f>
        <v>30.8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875</v>
      </c>
      <c r="E133" s="95" t="s">
        <v>21</v>
      </c>
      <c r="F133" s="135">
        <v>26.25</v>
      </c>
      <c r="G133" s="143"/>
      <c r="H133" s="144"/>
      <c r="I133" s="144"/>
      <c r="J133" s="144"/>
      <c r="K133" s="144"/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44"/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875</v>
      </c>
      <c r="E134" s="106"/>
      <c r="F134" s="54">
        <f>F133+F132</f>
        <v>26.25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10</v>
      </c>
      <c r="E136" s="95" t="s">
        <v>19</v>
      </c>
      <c r="F136" s="135">
        <v>13.59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10</v>
      </c>
      <c r="E137" s="95" t="s">
        <v>19</v>
      </c>
      <c r="F137" s="135">
        <v>192.5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10</v>
      </c>
      <c r="E138" s="95" t="s">
        <v>19</v>
      </c>
      <c r="F138" s="135">
        <v>10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30</v>
      </c>
      <c r="E139" s="106"/>
      <c r="F139" s="54">
        <f>SUM(F136:F138)</f>
        <v>216.09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1393432</v>
      </c>
      <c r="E140" s="146"/>
      <c r="F140" s="148">
        <f>F10+F64+F68+F82+F90+F95+F98+F101+F103+F110+F116+F120+F123+F126+F130+F134+F139</f>
        <v>2999.3687500000001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6">
        <f>+F138+F137+F136+F133+F125+F124+F122+F121+F119+F118+F115+F114+F113+F112+F108+F107+F106+F105+F102+F100+F99+F94+F93+F92+F91+F89+F88+F87+F86+F85+F77+F76+F75+F73+F72+F71+F70+F69+F67+F66+F45+F43+F36+F35+F34+F19+F18+F17</f>
        <v>2999.3687500000001</v>
      </c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23.25" customHeight="1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23.25" customHeight="1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23.25" customHeight="1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23.25" customHeight="1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47:D147"/>
    <mergeCell ref="K147:Q147"/>
    <mergeCell ref="A139:B139"/>
    <mergeCell ref="A140:B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A148:D148"/>
    <mergeCell ref="K148:Q148"/>
    <mergeCell ref="K144:Q144"/>
    <mergeCell ref="A145:D145"/>
    <mergeCell ref="K145:Q145"/>
    <mergeCell ref="A146:D146"/>
    <mergeCell ref="K146:Q146"/>
    <mergeCell ref="G140:R140"/>
    <mergeCell ref="A134:B134"/>
    <mergeCell ref="A101:B101"/>
    <mergeCell ref="A103:B103"/>
    <mergeCell ref="A110:B110"/>
    <mergeCell ref="A116:B116"/>
    <mergeCell ref="A120:B120"/>
    <mergeCell ref="A121:A122"/>
    <mergeCell ref="A123:B123"/>
    <mergeCell ref="A126:B126"/>
    <mergeCell ref="A130:B130"/>
    <mergeCell ref="A132:A133"/>
    <mergeCell ref="B132:B133"/>
    <mergeCell ref="A10:B10"/>
    <mergeCell ref="A37:B37"/>
    <mergeCell ref="A68:B68"/>
    <mergeCell ref="P77:R77"/>
    <mergeCell ref="A12:A15"/>
    <mergeCell ref="A16:A19"/>
    <mergeCell ref="A38:A41"/>
    <mergeCell ref="A42:A45"/>
    <mergeCell ref="A46:A49"/>
    <mergeCell ref="A51:A54"/>
    <mergeCell ref="A55:A58"/>
    <mergeCell ref="A59:A62"/>
    <mergeCell ref="A64:B64"/>
    <mergeCell ref="E69:E73"/>
    <mergeCell ref="E75:E7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C104:F104"/>
    <mergeCell ref="A91:A94"/>
    <mergeCell ref="A81:B81"/>
    <mergeCell ref="A24:B24"/>
    <mergeCell ref="A50:B50"/>
    <mergeCell ref="A63:B63"/>
    <mergeCell ref="A20:A23"/>
    <mergeCell ref="A25:A28"/>
    <mergeCell ref="A29:A32"/>
    <mergeCell ref="A33:A36"/>
    <mergeCell ref="A99:A100"/>
    <mergeCell ref="B99:B100"/>
    <mergeCell ref="E99:E100"/>
    <mergeCell ref="A90:B90"/>
    <mergeCell ref="A95:B95"/>
    <mergeCell ref="A96:A97"/>
    <mergeCell ref="B96:B97"/>
    <mergeCell ref="E96:E97"/>
    <mergeCell ref="A98:B98"/>
    <mergeCell ref="B91:B94"/>
    <mergeCell ref="E91:E94"/>
    <mergeCell ref="A74:C74"/>
    <mergeCell ref="A78:C78"/>
    <mergeCell ref="A82:C82"/>
    <mergeCell ref="E84:E89"/>
    <mergeCell ref="B69:B73"/>
    <mergeCell ref="B75:B77"/>
    <mergeCell ref="A69:A73"/>
    <mergeCell ref="A75:A77"/>
    <mergeCell ref="G75:K77"/>
    <mergeCell ref="P75:R75"/>
    <mergeCell ref="P76:R76"/>
    <mergeCell ref="G74:R74"/>
    <mergeCell ref="G69:K73"/>
    <mergeCell ref="P69:R69"/>
    <mergeCell ref="P70:R70"/>
    <mergeCell ref="P71:R71"/>
    <mergeCell ref="P72:R72"/>
    <mergeCell ref="P73:R73"/>
    <mergeCell ref="G78:R78"/>
    <mergeCell ref="G84:L84"/>
    <mergeCell ref="P85:R85"/>
    <mergeCell ref="P86:R86"/>
    <mergeCell ref="P87:R87"/>
    <mergeCell ref="P88:R88"/>
    <mergeCell ref="P89:R89"/>
    <mergeCell ref="G90:R90"/>
    <mergeCell ref="G95:R95"/>
    <mergeCell ref="G134:R134"/>
    <mergeCell ref="G135:R135"/>
    <mergeCell ref="G139:R139"/>
    <mergeCell ref="G123:R123"/>
    <mergeCell ref="G126:R126"/>
    <mergeCell ref="G130:R130"/>
    <mergeCell ref="G131:R131"/>
    <mergeCell ref="G98:R98"/>
    <mergeCell ref="G110:R110"/>
    <mergeCell ref="G120:R120"/>
  </mergeCells>
  <pageMargins left="0.20866141699999999" right="0.20866141699999999" top="0.74803149606299202" bottom="0.74803149606299202" header="0.31496062992126" footer="0.31496062992126"/>
  <pageSetup paperSize="9" scale="51" orientation="landscape" verticalDpi="300" r:id="rId1"/>
  <rowBreaks count="1" manualBreakCount="1">
    <brk id="10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08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164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150</v>
      </c>
      <c r="E17" s="95" t="s">
        <v>19</v>
      </c>
      <c r="F17" s="114">
        <f>150*775/100000</f>
        <v>1.1625000000000001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150</v>
      </c>
      <c r="E18" s="95" t="s">
        <v>19</v>
      </c>
      <c r="F18" s="33">
        <f>150*11220/100000</f>
        <v>16.829999999999998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150</v>
      </c>
      <c r="E19" s="95" t="s">
        <v>19</v>
      </c>
      <c r="F19" s="33">
        <f>150*500/100000</f>
        <v>0.75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150</v>
      </c>
      <c r="E24" s="95"/>
      <c r="F24" s="34">
        <f>SUM(F13:F23)</f>
        <v>18.7425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151</v>
      </c>
      <c r="E34" s="95" t="s">
        <v>19</v>
      </c>
      <c r="F34" s="114">
        <v>0.86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151</v>
      </c>
      <c r="E35" s="95" t="s">
        <v>19</v>
      </c>
      <c r="F35" s="33">
        <v>11.29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151</v>
      </c>
      <c r="E36" s="95" t="s">
        <v>19</v>
      </c>
      <c r="F36" s="33">
        <v>0.75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151</v>
      </c>
      <c r="E37" s="95"/>
      <c r="F37" s="34">
        <f>SUM(F26:F36)</f>
        <v>12.899999999999999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9</v>
      </c>
      <c r="E43" s="95" t="s">
        <v>19</v>
      </c>
      <c r="F43" s="117">
        <v>6.3E-3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9</v>
      </c>
      <c r="E45" s="95" t="s">
        <v>19</v>
      </c>
      <c r="F45" s="117">
        <v>4.4999999999999998E-2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170</v>
      </c>
      <c r="E47" s="95" t="s">
        <v>19</v>
      </c>
      <c r="F47" s="117">
        <v>0.01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170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170</v>
      </c>
      <c r="E49" s="95" t="s">
        <v>19</v>
      </c>
      <c r="F49" s="117">
        <v>0.85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179</v>
      </c>
      <c r="E50" s="95"/>
      <c r="F50" s="34">
        <f>SUM(F39:F49)</f>
        <v>0.9113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480</v>
      </c>
      <c r="E64" s="106"/>
      <c r="F64" s="120">
        <f>+F63+F50+F37+F24</f>
        <v>32.553799999999995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6184</v>
      </c>
      <c r="E66" s="121" t="s">
        <v>19</v>
      </c>
      <c r="F66" s="33">
        <f>D66*0.0003</f>
        <v>1.8551999999999997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6184</v>
      </c>
      <c r="E67" s="95" t="s">
        <v>78</v>
      </c>
      <c r="F67" s="33">
        <f>D67*0.0003</f>
        <v>1.8551999999999997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6184</v>
      </c>
      <c r="E68" s="106"/>
      <c r="F68" s="34">
        <f>SUM(F66:F67)</f>
        <v>3.7103999999999995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23807</v>
      </c>
      <c r="E69" s="204" t="s">
        <v>17</v>
      </c>
      <c r="F69" s="67">
        <f>3571050/100000</f>
        <v>35.710500000000003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18991</v>
      </c>
      <c r="E70" s="205"/>
      <c r="F70" s="56">
        <f>2848650/100000</f>
        <v>28.486499999999999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21454</v>
      </c>
      <c r="E71" s="205"/>
      <c r="F71" s="56">
        <f>3218100/100000</f>
        <v>32.180999999999997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21783</v>
      </c>
      <c r="E72" s="205"/>
      <c r="F72" s="56">
        <f>3267450/100000</f>
        <v>32.674500000000002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20578</v>
      </c>
      <c r="E73" s="206"/>
      <c r="F73" s="56">
        <f>3086700/100000</f>
        <v>30.867000000000001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106613</v>
      </c>
      <c r="E74" s="95"/>
      <c r="F74" s="54">
        <f>F69+F70+F71+F72+F73</f>
        <v>159.9195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12287</v>
      </c>
      <c r="E75" s="204" t="s">
        <v>17</v>
      </c>
      <c r="F75" s="56">
        <f>3071450/100000</f>
        <v>30.714500000000001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16483</v>
      </c>
      <c r="E76" s="205"/>
      <c r="F76" s="56">
        <f>4120750/100000</f>
        <v>41.207500000000003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14278</v>
      </c>
      <c r="E77" s="206"/>
      <c r="F77" s="56">
        <v>35.520000000000003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43048</v>
      </c>
      <c r="E78" s="95"/>
      <c r="F78" s="36">
        <f>F75+F76+F77</f>
        <v>107.44200000000001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46</v>
      </c>
      <c r="E79" s="95" t="s">
        <v>19</v>
      </c>
      <c r="F79" s="33">
        <v>0.31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164</v>
      </c>
      <c r="E80" s="95" t="s">
        <v>19</v>
      </c>
      <c r="F80" s="33">
        <v>0.39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210</v>
      </c>
      <c r="E81" s="106"/>
      <c r="F81" s="120">
        <f>F80+F79</f>
        <v>0.7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149871</v>
      </c>
      <c r="E82" s="106"/>
      <c r="F82" s="120">
        <f>F81+F78+F74</f>
        <v>268.06150000000002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149661</v>
      </c>
      <c r="E85" s="172"/>
      <c r="F85" s="33">
        <v>37.42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3231</v>
      </c>
      <c r="E86" s="172"/>
      <c r="F86" s="33">
        <v>0.48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765</v>
      </c>
      <c r="E87" s="172"/>
      <c r="F87" s="33">
        <v>0.11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765</v>
      </c>
      <c r="E88" s="172"/>
      <c r="F88" s="33">
        <v>5.74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206</v>
      </c>
      <c r="E89" s="173"/>
      <c r="F89" s="33">
        <v>2.06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154628</v>
      </c>
      <c r="E90" s="106"/>
      <c r="F90" s="34">
        <f>SUM(F84:F89)</f>
        <v>45.81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17135</v>
      </c>
      <c r="E91" s="193" t="s">
        <v>35</v>
      </c>
      <c r="F91" s="117">
        <v>68.540000000000006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9964</v>
      </c>
      <c r="E92" s="193"/>
      <c r="F92" s="117">
        <v>39.856000000000002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85</v>
      </c>
      <c r="E93" s="193"/>
      <c r="F93" s="117">
        <v>0.34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26046</v>
      </c>
      <c r="E94" s="193"/>
      <c r="F94" s="117">
        <v>104.184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53230</v>
      </c>
      <c r="E95" s="106"/>
      <c r="F95" s="34">
        <f>SUM(F91:F94)</f>
        <v>212.92000000000002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559</v>
      </c>
      <c r="E99" s="174" t="s">
        <v>19</v>
      </c>
      <c r="F99" s="33">
        <v>27.950000000000003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206</v>
      </c>
      <c r="E100" s="174"/>
      <c r="F100" s="33">
        <v>14.420000000000002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765</v>
      </c>
      <c r="E101" s="106"/>
      <c r="F101" s="34">
        <f>SUM(F99:F100)</f>
        <v>42.370000000000005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765</v>
      </c>
      <c r="E102" s="95" t="s">
        <v>19</v>
      </c>
      <c r="F102" s="33">
        <v>3.4283028114149414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765</v>
      </c>
      <c r="E103" s="106"/>
      <c r="F103" s="34">
        <f>F102</f>
        <v>3.4283028114149414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55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559</v>
      </c>
      <c r="E112" s="95" t="s">
        <v>19</v>
      </c>
      <c r="F112" s="135">
        <v>0.55900000000000005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765</v>
      </c>
      <c r="E113" s="95" t="s">
        <v>21</v>
      </c>
      <c r="F113" s="135">
        <v>1.1475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5</v>
      </c>
      <c r="E114" s="95" t="s">
        <v>21</v>
      </c>
      <c r="F114" s="135">
        <v>9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1331</v>
      </c>
      <c r="E116" s="106"/>
      <c r="F116" s="34">
        <f>SUM(F112:F115)</f>
        <v>11.9565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47</v>
      </c>
      <c r="E119" s="95" t="s">
        <v>19</v>
      </c>
      <c r="F119" s="135">
        <v>3.71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49</v>
      </c>
      <c r="E120" s="106"/>
      <c r="F120" s="54">
        <f>SUM(F118:F119)</f>
        <v>6.71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5</v>
      </c>
      <c r="E121" s="95" t="s">
        <v>19</v>
      </c>
      <c r="F121" s="135">
        <v>2.5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5</v>
      </c>
      <c r="E122" s="95" t="s">
        <v>19</v>
      </c>
      <c r="F122" s="135">
        <v>1.5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5</v>
      </c>
      <c r="E123" s="106"/>
      <c r="F123" s="54">
        <f>SUM(F121:F122)</f>
        <v>4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41</v>
      </c>
      <c r="E124" s="95" t="s">
        <v>19</v>
      </c>
      <c r="F124" s="135">
        <v>4.1000000000000005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41</v>
      </c>
      <c r="E125" s="95" t="s">
        <v>19</v>
      </c>
      <c r="F125" s="135">
        <v>4.92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41</v>
      </c>
      <c r="E126" s="106"/>
      <c r="F126" s="54">
        <f>SUM(F124:F125)</f>
        <v>9.02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60</v>
      </c>
      <c r="E133" s="95" t="s">
        <v>21</v>
      </c>
      <c r="F133" s="135">
        <v>1.8</v>
      </c>
      <c r="G133" s="143"/>
      <c r="H133" s="144"/>
      <c r="I133" s="133" t="s">
        <v>97</v>
      </c>
      <c r="J133" s="133" t="s">
        <v>97</v>
      </c>
      <c r="K133" s="133" t="s">
        <v>97</v>
      </c>
      <c r="L133" s="133" t="s">
        <v>97</v>
      </c>
      <c r="M133" s="133" t="s">
        <v>97</v>
      </c>
      <c r="N133" s="133" t="s">
        <v>97</v>
      </c>
      <c r="O133" s="144"/>
      <c r="P133" s="144"/>
      <c r="Q133" s="144"/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60</v>
      </c>
      <c r="E134" s="106"/>
      <c r="F134" s="54">
        <f>F133+F132</f>
        <v>1.8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5</v>
      </c>
      <c r="E136" s="95" t="s">
        <v>19</v>
      </c>
      <c r="F136" s="135">
        <v>3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5</v>
      </c>
      <c r="E137" s="95" t="s">
        <v>19</v>
      </c>
      <c r="F137" s="135">
        <v>96.25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5</v>
      </c>
      <c r="E138" s="95" t="s">
        <v>19</v>
      </c>
      <c r="F138" s="135">
        <v>5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15</v>
      </c>
      <c r="E139" s="106"/>
      <c r="F139" s="54">
        <f>SUM(F136:F138)</f>
        <v>104.25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367425</v>
      </c>
      <c r="E140" s="146"/>
      <c r="F140" s="148">
        <f>F10+F64+F68+F82+F90+F95+F98+F101+F103+F110+F116+F120+F123+F126+F130+F134+F139</f>
        <v>761.09050281141504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33:A36"/>
    <mergeCell ref="A37:B37"/>
    <mergeCell ref="A38:A41"/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151"/>
  <sheetViews>
    <sheetView view="pageBreakPreview" zoomScale="70" zoomScaleSheetLayoutView="70" workbookViewId="0">
      <pane xSplit="2" ySplit="5" topLeftCell="D63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99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747</v>
      </c>
      <c r="E17" s="95" t="s">
        <v>19</v>
      </c>
      <c r="F17" s="114">
        <f>747*775/100000</f>
        <v>5.78925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747</v>
      </c>
      <c r="E18" s="95" t="s">
        <v>19</v>
      </c>
      <c r="F18" s="33">
        <f>747*11220/100000</f>
        <v>83.813400000000001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747</v>
      </c>
      <c r="E19" s="95" t="s">
        <v>19</v>
      </c>
      <c r="F19" s="33">
        <f>747*500/100000</f>
        <v>3.7349999999999999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747</v>
      </c>
      <c r="E24" s="95"/>
      <c r="F24" s="34">
        <f>SUM(F13:F23)</f>
        <v>93.337649999999996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1492</v>
      </c>
      <c r="E34" s="95" t="s">
        <v>19</v>
      </c>
      <c r="F34" s="114">
        <v>8.58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1492</v>
      </c>
      <c r="E35" s="95" t="s">
        <v>19</v>
      </c>
      <c r="F35" s="33">
        <v>111.6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1492</v>
      </c>
      <c r="E36" s="95" t="s">
        <v>19</v>
      </c>
      <c r="F36" s="33">
        <v>7.46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1492</v>
      </c>
      <c r="E37" s="95"/>
      <c r="F37" s="34">
        <f>SUM(F26:F36)</f>
        <v>127.63999999999999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0</v>
      </c>
      <c r="E43" s="95" t="s">
        <v>19</v>
      </c>
      <c r="F43" s="117"/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0</v>
      </c>
      <c r="E45" s="95" t="s">
        <v>19</v>
      </c>
      <c r="F45" s="117"/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589</v>
      </c>
      <c r="E47" s="95" t="s">
        <v>19</v>
      </c>
      <c r="F47" s="117">
        <f>67*589/100000</f>
        <v>0.39462999999999998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589</v>
      </c>
      <c r="E48" s="95" t="s">
        <v>19</v>
      </c>
      <c r="F48" s="34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589</v>
      </c>
      <c r="E49" s="95" t="s">
        <v>19</v>
      </c>
      <c r="F49" s="117">
        <f>500*589/100000</f>
        <v>2.9449999999999998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589</v>
      </c>
      <c r="E50" s="95"/>
      <c r="F50" s="34">
        <f>SUM(F39:F49)</f>
        <v>3.3396299999999997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2828</v>
      </c>
      <c r="E64" s="106"/>
      <c r="F64" s="120">
        <f>+F63+F50+F37+F24</f>
        <v>224.31727999999998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20139</v>
      </c>
      <c r="E66" s="121" t="s">
        <v>19</v>
      </c>
      <c r="F66" s="33">
        <f>D66*0.0003</f>
        <v>6.0416999999999996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20139</v>
      </c>
      <c r="E67" s="95" t="s">
        <v>78</v>
      </c>
      <c r="F67" s="33">
        <f>D67*0.0003</f>
        <v>6.0416999999999996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20139</v>
      </c>
      <c r="E68" s="106"/>
      <c r="F68" s="34">
        <f>SUM(F66:F67)</f>
        <v>12.083399999999999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76618</v>
      </c>
      <c r="E69" s="204" t="s">
        <v>17</v>
      </c>
      <c r="F69" s="63">
        <f>11492700/100000</f>
        <v>114.92700000000001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72528</v>
      </c>
      <c r="E70" s="205"/>
      <c r="F70" s="56">
        <f>10879200/100000</f>
        <v>108.792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76216</v>
      </c>
      <c r="E71" s="205"/>
      <c r="F71" s="56">
        <f>11432400/100000</f>
        <v>114.324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74374</v>
      </c>
      <c r="E72" s="205"/>
      <c r="F72" s="56">
        <f>11156100/100000</f>
        <v>111.56100000000001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72456</v>
      </c>
      <c r="E73" s="206"/>
      <c r="F73" s="56">
        <f>10867400/100000</f>
        <v>108.67400000000001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372192</v>
      </c>
      <c r="E74" s="95"/>
      <c r="F74" s="56">
        <f>F69+F70+F71+F72+F73</f>
        <v>558.27800000000002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61116</v>
      </c>
      <c r="E75" s="204" t="s">
        <v>17</v>
      </c>
      <c r="F75" s="56">
        <f>15279000/100000</f>
        <v>152.79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55469</v>
      </c>
      <c r="E76" s="205"/>
      <c r="F76" s="56">
        <f>13867250/100000</f>
        <v>138.67250000000001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47526</v>
      </c>
      <c r="E77" s="206"/>
      <c r="F77" s="56">
        <f>11881500/100000</f>
        <v>118.815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164111</v>
      </c>
      <c r="E78" s="95"/>
      <c r="F78" s="36">
        <f>F75+F76+F77</f>
        <v>410.27749999999997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536303</v>
      </c>
      <c r="E82" s="106"/>
      <c r="F82" s="120">
        <f>F81+F78+F74</f>
        <v>968.55549999999994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536303</v>
      </c>
      <c r="E85" s="172"/>
      <c r="F85" s="33">
        <v>134.08000000000001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10016</v>
      </c>
      <c r="E86" s="172"/>
      <c r="F86" s="33">
        <v>1.5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3246</v>
      </c>
      <c r="E87" s="172"/>
      <c r="F87" s="33">
        <v>0.48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3246</v>
      </c>
      <c r="E88" s="172"/>
      <c r="F88" s="33">
        <v>24.35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1032</v>
      </c>
      <c r="E89" s="173"/>
      <c r="F89" s="33">
        <v>10.32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553843</v>
      </c>
      <c r="E90" s="106"/>
      <c r="F90" s="34">
        <f>SUM(F84:F89)</f>
        <v>170.73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74300</v>
      </c>
      <c r="E91" s="193" t="s">
        <v>35</v>
      </c>
      <c r="F91" s="117">
        <v>297.2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45982</v>
      </c>
      <c r="E92" s="193"/>
      <c r="F92" s="117">
        <v>183.928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484</v>
      </c>
      <c r="E93" s="193"/>
      <c r="F93" s="117">
        <v>1.9359999999999999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84569</v>
      </c>
      <c r="E94" s="193"/>
      <c r="F94" s="117">
        <v>338.27600000000001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205335</v>
      </c>
      <c r="E95" s="106"/>
      <c r="F95" s="34">
        <f>SUM(F91:F94)</f>
        <v>821.33999999999992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2214</v>
      </c>
      <c r="E99" s="174" t="s">
        <v>19</v>
      </c>
      <c r="F99" s="33">
        <v>110.7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1032</v>
      </c>
      <c r="E100" s="174"/>
      <c r="F100" s="33">
        <v>72.240000000000009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3246</v>
      </c>
      <c r="E101" s="106"/>
      <c r="F101" s="34">
        <f>SUM(F99:F100)</f>
        <v>182.94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3246</v>
      </c>
      <c r="E102" s="95" t="s">
        <v>19</v>
      </c>
      <c r="F102" s="33">
        <v>14.546759380199868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3246</v>
      </c>
      <c r="E103" s="106"/>
      <c r="F103" s="34">
        <f>F102</f>
        <v>14.546759380199868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5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55">
        <v>4.5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60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18.5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2224</v>
      </c>
      <c r="E112" s="95" t="s">
        <v>19</v>
      </c>
      <c r="F112" s="135">
        <v>2.2200000000000002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3246</v>
      </c>
      <c r="E113" s="95" t="s">
        <v>21</v>
      </c>
      <c r="F113" s="135">
        <v>4.87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11</v>
      </c>
      <c r="E114" s="95" t="s">
        <v>21</v>
      </c>
      <c r="F114" s="135">
        <v>19.8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5483</v>
      </c>
      <c r="E116" s="106"/>
      <c r="F116" s="34">
        <f>SUM(F112:F115)</f>
        <v>28.14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190</v>
      </c>
      <c r="E119" s="95" t="s">
        <v>19</v>
      </c>
      <c r="F119" s="135">
        <v>11.3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192</v>
      </c>
      <c r="E120" s="106"/>
      <c r="F120" s="54">
        <f>SUM(F118:F119)</f>
        <v>14.3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11</v>
      </c>
      <c r="E121" s="95" t="s">
        <v>19</v>
      </c>
      <c r="F121" s="135">
        <v>5.5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11</v>
      </c>
      <c r="E122" s="95" t="s">
        <v>19</v>
      </c>
      <c r="F122" s="135">
        <v>3.3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11</v>
      </c>
      <c r="E123" s="106"/>
      <c r="F123" s="54">
        <f>SUM(F121:F122)</f>
        <v>8.8000000000000007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178</v>
      </c>
      <c r="E124" s="95" t="s">
        <v>19</v>
      </c>
      <c r="F124" s="135">
        <v>17.8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178</v>
      </c>
      <c r="E125" s="95" t="s">
        <v>19</v>
      </c>
      <c r="F125" s="135">
        <v>21.36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178</v>
      </c>
      <c r="E126" s="106"/>
      <c r="F126" s="54">
        <f>SUM(F124:F125)</f>
        <v>39.159999999999997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850</v>
      </c>
      <c r="E133" s="95" t="s">
        <v>21</v>
      </c>
      <c r="F133" s="135">
        <v>25.5</v>
      </c>
      <c r="G133" s="143"/>
      <c r="H133" s="144"/>
      <c r="I133" s="144"/>
      <c r="J133" s="144"/>
      <c r="K133" s="133" t="s">
        <v>97</v>
      </c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44"/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850</v>
      </c>
      <c r="E134" s="106"/>
      <c r="F134" s="54">
        <f>F133+F132</f>
        <v>25.5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7</v>
      </c>
      <c r="E136" s="95" t="s">
        <v>19</v>
      </c>
      <c r="F136" s="135">
        <v>5.25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11</v>
      </c>
      <c r="E137" s="95" t="s">
        <v>19</v>
      </c>
      <c r="F137" s="135">
        <v>211.75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11</v>
      </c>
      <c r="E138" s="95" t="s">
        <v>19</v>
      </c>
      <c r="F138" s="135">
        <v>11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29</v>
      </c>
      <c r="E139" s="106"/>
      <c r="F139" s="54">
        <f>SUM(F136:F138)</f>
        <v>228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1331684</v>
      </c>
      <c r="E140" s="146"/>
      <c r="F140" s="148">
        <f>F10+F64+F68+F82+F90+F95+F98+F101+F103+F110+F116+F120+F123+F126+F130+F134+F139</f>
        <v>2756.9129393802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6:A19"/>
    <mergeCell ref="A20:A23"/>
    <mergeCell ref="A24:B24"/>
    <mergeCell ref="A25:A28"/>
    <mergeCell ref="A29:A32"/>
    <mergeCell ref="A63:B63"/>
    <mergeCell ref="A33:A36"/>
    <mergeCell ref="A37:B37"/>
    <mergeCell ref="A38:A41"/>
    <mergeCell ref="A42:A45"/>
    <mergeCell ref="A46:A49"/>
    <mergeCell ref="A50:B50"/>
    <mergeCell ref="A51:A54"/>
    <mergeCell ref="A55:A58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.2" right="0.2" top="0.5" bottom="0.5" header="0" footer="0"/>
  <pageSetup paperSize="9" scale="66" fitToHeight="0" orientation="landscape" r:id="rId1"/>
  <headerFooter>
    <oddFooter>&amp;L
&amp;"Times New Roman,Regular"&amp;8&amp;Z&amp;F</oddFooter>
  </headerFooter>
  <rowBreaks count="2" manualBreakCount="2">
    <brk id="32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121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100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1437</v>
      </c>
      <c r="E17" s="95" t="s">
        <v>19</v>
      </c>
      <c r="F17" s="114">
        <f>1437*775/100000</f>
        <v>11.136749999999999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1437</v>
      </c>
      <c r="E18" s="95" t="s">
        <v>19</v>
      </c>
      <c r="F18" s="33">
        <f>1437*11220/100000</f>
        <v>161.23140000000001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1437</v>
      </c>
      <c r="E19" s="95" t="s">
        <v>19</v>
      </c>
      <c r="F19" s="33">
        <f>1437*500/100000</f>
        <v>7.1849999999999996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1437</v>
      </c>
      <c r="E24" s="95"/>
      <c r="F24" s="34">
        <f>SUM(F13:F23)</f>
        <v>179.55315000000002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400</v>
      </c>
      <c r="E34" s="95" t="s">
        <v>19</v>
      </c>
      <c r="F34" s="114">
        <v>2.2999999999999998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400</v>
      </c>
      <c r="E35" s="95" t="s">
        <v>19</v>
      </c>
      <c r="F35" s="33">
        <v>29.92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400</v>
      </c>
      <c r="E36" s="95" t="s">
        <v>19</v>
      </c>
      <c r="F36" s="33">
        <v>2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400</v>
      </c>
      <c r="E37" s="95"/>
      <c r="F37" s="34">
        <f>SUM(F26:F36)</f>
        <v>34.22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0</v>
      </c>
      <c r="E43" s="95" t="s">
        <v>19</v>
      </c>
      <c r="F43" s="117"/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0</v>
      </c>
      <c r="E45" s="95" t="s">
        <v>19</v>
      </c>
      <c r="F45" s="117"/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830</v>
      </c>
      <c r="E47" s="95" t="s">
        <v>19</v>
      </c>
      <c r="F47" s="117">
        <v>0.56000000000000005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830</v>
      </c>
      <c r="E48" s="95" t="s">
        <v>19</v>
      </c>
      <c r="F48" s="117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830</v>
      </c>
      <c r="E49" s="95" t="s">
        <v>19</v>
      </c>
      <c r="F49" s="117">
        <v>4.1500000000000004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830</v>
      </c>
      <c r="E50" s="95"/>
      <c r="F50" s="34">
        <f>SUM(F39:F49)</f>
        <v>4.7100000000000009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2667</v>
      </c>
      <c r="E64" s="106"/>
      <c r="F64" s="120">
        <f>+F63+F50+F37+F24</f>
        <v>218.48315000000002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14144</v>
      </c>
      <c r="E66" s="121" t="s">
        <v>19</v>
      </c>
      <c r="F66" s="33">
        <f>D66*0.0003</f>
        <v>4.2431999999999999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14144</v>
      </c>
      <c r="E67" s="95" t="s">
        <v>78</v>
      </c>
      <c r="F67" s="33">
        <f>D67*0.0003</f>
        <v>4.2431999999999999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14144</v>
      </c>
      <c r="E68" s="106"/>
      <c r="F68" s="34">
        <f>SUM(F66:F67)</f>
        <v>8.4863999999999997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48909</v>
      </c>
      <c r="E69" s="204" t="s">
        <v>17</v>
      </c>
      <c r="F69" s="63">
        <v>73.36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57095</v>
      </c>
      <c r="E70" s="205"/>
      <c r="F70" s="56">
        <v>85.64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61579</v>
      </c>
      <c r="E71" s="205"/>
      <c r="F71" s="56">
        <v>92.37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60145</v>
      </c>
      <c r="E72" s="205"/>
      <c r="F72" s="56">
        <v>90.22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53721</v>
      </c>
      <c r="E73" s="206"/>
      <c r="F73" s="56">
        <v>80.58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281449</v>
      </c>
      <c r="E74" s="95"/>
      <c r="F74" s="54">
        <f>F69+F70+F71+F72+F73</f>
        <v>422.17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40943</v>
      </c>
      <c r="E75" s="204" t="s">
        <v>17</v>
      </c>
      <c r="F75" s="56">
        <v>102.35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42454</v>
      </c>
      <c r="E76" s="205"/>
      <c r="F76" s="56">
        <v>106.14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33303</v>
      </c>
      <c r="E77" s="206"/>
      <c r="F77" s="55">
        <v>83.63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116700</v>
      </c>
      <c r="E78" s="95"/>
      <c r="F78" s="36">
        <f>F75+F76+F77</f>
        <v>292.12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522</v>
      </c>
      <c r="E79" s="95" t="s">
        <v>19</v>
      </c>
      <c r="F79" s="33">
        <v>0.93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522</v>
      </c>
      <c r="E81" s="106"/>
      <c r="F81" s="120">
        <f>F80+F79</f>
        <v>0.93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398671</v>
      </c>
      <c r="E82" s="106"/>
      <c r="F82" s="120">
        <f>F81+F78+F74</f>
        <v>715.22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398149</v>
      </c>
      <c r="E85" s="172"/>
      <c r="F85" s="33">
        <v>99.54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7100</v>
      </c>
      <c r="E86" s="172"/>
      <c r="F86" s="33">
        <v>1.06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2974</v>
      </c>
      <c r="E87" s="172"/>
      <c r="F87" s="33">
        <v>0.45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2974</v>
      </c>
      <c r="E88" s="172"/>
      <c r="F88" s="33">
        <v>22.3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874</v>
      </c>
      <c r="E89" s="173"/>
      <c r="F89" s="33">
        <v>8.74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412071</v>
      </c>
      <c r="E90" s="106"/>
      <c r="F90" s="34">
        <f>SUM(F84:F89)</f>
        <v>132.09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54210</v>
      </c>
      <c r="E91" s="193" t="s">
        <v>35</v>
      </c>
      <c r="F91" s="117">
        <v>216.84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16574</v>
      </c>
      <c r="E92" s="193"/>
      <c r="F92" s="117">
        <v>66.296000000000006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5404</v>
      </c>
      <c r="E93" s="193"/>
      <c r="F93" s="117">
        <v>21.616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72718</v>
      </c>
      <c r="E94" s="193"/>
      <c r="F94" s="117">
        <v>290.87200000000001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148906</v>
      </c>
      <c r="E95" s="106"/>
      <c r="F95" s="34">
        <f>SUM(F91:F94)</f>
        <v>595.62400000000002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2100</v>
      </c>
      <c r="E99" s="174" t="s">
        <v>19</v>
      </c>
      <c r="F99" s="33">
        <v>105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874</v>
      </c>
      <c r="E100" s="174"/>
      <c r="F100" s="33">
        <v>61.180000000000007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2974</v>
      </c>
      <c r="E101" s="106"/>
      <c r="F101" s="34">
        <f>SUM(F99:F100)</f>
        <v>166.18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2974</v>
      </c>
      <c r="E102" s="95" t="s">
        <v>19</v>
      </c>
      <c r="F102" s="33">
        <v>13.327807269474556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2974</v>
      </c>
      <c r="E103" s="106"/>
      <c r="F103" s="34">
        <f>F102</f>
        <v>13.327807269474556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55">
        <v>4.5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60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18.5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2100</v>
      </c>
      <c r="E112" s="95" t="s">
        <v>19</v>
      </c>
      <c r="F112" s="135">
        <v>2.1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2974</v>
      </c>
      <c r="E113" s="95" t="s">
        <v>21</v>
      </c>
      <c r="F113" s="135">
        <v>4.46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11</v>
      </c>
      <c r="E114" s="95" t="s">
        <v>21</v>
      </c>
      <c r="F114" s="135">
        <v>19.8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5087</v>
      </c>
      <c r="E116" s="106"/>
      <c r="F116" s="34">
        <f>SUM(F112:F115)</f>
        <v>27.61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150</v>
      </c>
      <c r="E119" s="95" t="s">
        <v>19</v>
      </c>
      <c r="F119" s="135">
        <v>10.7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152</v>
      </c>
      <c r="E120" s="106"/>
      <c r="F120" s="54">
        <f>SUM(F118:F119)</f>
        <v>13.7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11</v>
      </c>
      <c r="E121" s="95" t="s">
        <v>19</v>
      </c>
      <c r="F121" s="135">
        <v>5.5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11</v>
      </c>
      <c r="E122" s="95" t="s">
        <v>19</v>
      </c>
      <c r="F122" s="135">
        <v>3.3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11</v>
      </c>
      <c r="E123" s="106"/>
      <c r="F123" s="54">
        <f>SUM(F121:F122)</f>
        <v>8.8000000000000007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161</v>
      </c>
      <c r="E124" s="95" t="s">
        <v>19</v>
      </c>
      <c r="F124" s="135">
        <v>16.100000000000001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161</v>
      </c>
      <c r="E125" s="95" t="s">
        <v>19</v>
      </c>
      <c r="F125" s="135">
        <v>19.32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161</v>
      </c>
      <c r="E126" s="106"/>
      <c r="F126" s="54">
        <f>SUM(F124:F125)</f>
        <v>35.42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150</v>
      </c>
      <c r="E133" s="95" t="s">
        <v>21</v>
      </c>
      <c r="F133" s="135">
        <v>4.5</v>
      </c>
      <c r="G133" s="143"/>
      <c r="H133" s="144"/>
      <c r="I133" s="144"/>
      <c r="J133" s="144"/>
      <c r="K133" s="133" t="s">
        <v>97</v>
      </c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44"/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150</v>
      </c>
      <c r="E134" s="106"/>
      <c r="F134" s="54">
        <f>F133+F132</f>
        <v>4.5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7</v>
      </c>
      <c r="E136" s="95" t="s">
        <v>19</v>
      </c>
      <c r="F136" s="135">
        <v>8.25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11</v>
      </c>
      <c r="E137" s="95" t="s">
        <v>19</v>
      </c>
      <c r="F137" s="135">
        <v>211.75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11</v>
      </c>
      <c r="E138" s="95" t="s">
        <v>19</v>
      </c>
      <c r="F138" s="135">
        <v>11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29</v>
      </c>
      <c r="E139" s="106"/>
      <c r="F139" s="54">
        <f>SUM(F136:F138)</f>
        <v>231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987998</v>
      </c>
      <c r="E140" s="146"/>
      <c r="F140" s="148">
        <f>F10+F64+F68+F82+F90+F95+F98+F101+F103+F110+F116+F120+F123+F126+F130+F134+F139</f>
        <v>2188.9413572694748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B69:B73"/>
    <mergeCell ref="E69:E73"/>
    <mergeCell ref="G69:K73"/>
    <mergeCell ref="P69:R69"/>
    <mergeCell ref="P70:R70"/>
    <mergeCell ref="P71:R71"/>
    <mergeCell ref="P72:R72"/>
    <mergeCell ref="P73:R73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3"/>
    <mergeCell ref="A38:A41"/>
    <mergeCell ref="A42:A45"/>
    <mergeCell ref="A46:A49"/>
    <mergeCell ref="A50:B50"/>
    <mergeCell ref="A51:A54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112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165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750</v>
      </c>
      <c r="E17" s="95" t="s">
        <v>19</v>
      </c>
      <c r="F17" s="114">
        <f>750*775/100000</f>
        <v>5.8125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750</v>
      </c>
      <c r="E18" s="95" t="s">
        <v>19</v>
      </c>
      <c r="F18" s="33">
        <f>750*11220/100000</f>
        <v>84.15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750</v>
      </c>
      <c r="E19" s="95" t="s">
        <v>19</v>
      </c>
      <c r="F19" s="33">
        <f>750*500/100000</f>
        <v>3.75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750</v>
      </c>
      <c r="E24" s="95"/>
      <c r="F24" s="34">
        <f>SUM(F13:F23)</f>
        <v>93.712500000000006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100</v>
      </c>
      <c r="E30" s="95" t="s">
        <v>19</v>
      </c>
      <c r="F30" s="117">
        <f>100*775/100000</f>
        <v>0.77500000000000002</v>
      </c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100</v>
      </c>
      <c r="E31" s="95" t="s">
        <v>19</v>
      </c>
      <c r="F31" s="117">
        <f>100*11220/100000</f>
        <v>11.22</v>
      </c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100</v>
      </c>
      <c r="E32" s="95" t="s">
        <v>19</v>
      </c>
      <c r="F32" s="117">
        <f>100*500/100000</f>
        <v>0.5</v>
      </c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0</v>
      </c>
      <c r="E34" s="95" t="s">
        <v>19</v>
      </c>
      <c r="F34" s="114"/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0</v>
      </c>
      <c r="E35" s="95" t="s">
        <v>19</v>
      </c>
      <c r="F35" s="33"/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0</v>
      </c>
      <c r="E36" s="95" t="s">
        <v>19</v>
      </c>
      <c r="F36" s="33"/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100</v>
      </c>
      <c r="E37" s="95"/>
      <c r="F37" s="34">
        <f>SUM(F26:F36)</f>
        <v>12.495000000000001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1069</v>
      </c>
      <c r="E43" s="95" t="s">
        <v>19</v>
      </c>
      <c r="F43" s="117">
        <v>0.72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1069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1069</v>
      </c>
      <c r="E45" s="95" t="s">
        <v>19</v>
      </c>
      <c r="F45" s="117">
        <v>5.34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1152</v>
      </c>
      <c r="E47" s="95" t="s">
        <v>19</v>
      </c>
      <c r="F47" s="34">
        <v>0.77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1152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1152</v>
      </c>
      <c r="E49" s="95" t="s">
        <v>19</v>
      </c>
      <c r="F49" s="34">
        <v>5.76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2221</v>
      </c>
      <c r="E50" s="95"/>
      <c r="F50" s="34">
        <f>SUM(F39:F49)</f>
        <v>12.59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3071</v>
      </c>
      <c r="E64" s="106"/>
      <c r="F64" s="120">
        <f>+F63+F50+F37+F24</f>
        <v>118.79750000000001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26081</v>
      </c>
      <c r="E66" s="121" t="s">
        <v>19</v>
      </c>
      <c r="F66" s="33">
        <f>D66*0.0003</f>
        <v>7.8242999999999991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26081</v>
      </c>
      <c r="E67" s="95" t="s">
        <v>78</v>
      </c>
      <c r="F67" s="33">
        <f>D67*0.0003</f>
        <v>7.8242999999999991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26081</v>
      </c>
      <c r="E68" s="106"/>
      <c r="F68" s="34">
        <f>SUM(F66:F67)</f>
        <v>15.648599999999998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84610</v>
      </c>
      <c r="E69" s="204" t="s">
        <v>17</v>
      </c>
      <c r="F69" s="63">
        <v>126.91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79815</v>
      </c>
      <c r="E70" s="205"/>
      <c r="F70" s="56">
        <v>119.72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82266</v>
      </c>
      <c r="E71" s="205"/>
      <c r="F71" s="56">
        <v>123.4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79064</v>
      </c>
      <c r="E72" s="205"/>
      <c r="F72" s="56">
        <v>118.6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77929</v>
      </c>
      <c r="E73" s="206"/>
      <c r="F73" s="56">
        <v>116.89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403684</v>
      </c>
      <c r="E74" s="95"/>
      <c r="F74" s="54">
        <f>F69+F70+F71+F72+F73</f>
        <v>605.52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65519</v>
      </c>
      <c r="E75" s="204" t="s">
        <v>17</v>
      </c>
      <c r="F75" s="56">
        <v>163.80000000000001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60656</v>
      </c>
      <c r="E76" s="205"/>
      <c r="F76" s="56">
        <v>151.63999999999999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51091</v>
      </c>
      <c r="E77" s="206"/>
      <c r="F77" s="56">
        <v>127.904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177266</v>
      </c>
      <c r="E78" s="95"/>
      <c r="F78" s="36">
        <f>F75+F76+F77</f>
        <v>443.34399999999999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177</v>
      </c>
      <c r="E79" s="95" t="s">
        <v>19</v>
      </c>
      <c r="F79" s="90">
        <v>0.26550000000000001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177</v>
      </c>
      <c r="E81" s="106"/>
      <c r="F81" s="120">
        <f>F80+F79</f>
        <v>0.26550000000000001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581127</v>
      </c>
      <c r="E82" s="106"/>
      <c r="F82" s="120">
        <f>F81+F78+F74</f>
        <v>1049.1295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580950</v>
      </c>
      <c r="E85" s="172"/>
      <c r="F85" s="33">
        <v>145.22999999999999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13627</v>
      </c>
      <c r="E86" s="172"/>
      <c r="F86" s="33">
        <v>2.04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2317</v>
      </c>
      <c r="E87" s="172"/>
      <c r="F87" s="33">
        <v>0.35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2317</v>
      </c>
      <c r="E88" s="172"/>
      <c r="F88" s="33">
        <v>17.38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779</v>
      </c>
      <c r="E89" s="173"/>
      <c r="F89" s="33">
        <v>7.79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599990</v>
      </c>
      <c r="E90" s="106"/>
      <c r="F90" s="34">
        <f>SUM(F84:F89)</f>
        <v>172.78999999999996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80991</v>
      </c>
      <c r="E91" s="193" t="s">
        <v>35</v>
      </c>
      <c r="F91" s="117">
        <v>323.964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30365</v>
      </c>
      <c r="E92" s="193"/>
      <c r="F92" s="117">
        <v>121.46000000000001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350</v>
      </c>
      <c r="E93" s="193"/>
      <c r="F93" s="117">
        <v>1.4000000000000001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111310</v>
      </c>
      <c r="E94" s="193"/>
      <c r="F94" s="117">
        <v>445.24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223016</v>
      </c>
      <c r="E95" s="106"/>
      <c r="F95" s="34">
        <f>SUM(F91:F94)</f>
        <v>892.06399999999996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1538</v>
      </c>
      <c r="E99" s="174" t="s">
        <v>19</v>
      </c>
      <c r="F99" s="33">
        <v>76.900000000000006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779</v>
      </c>
      <c r="E100" s="174"/>
      <c r="F100" s="33">
        <v>54.530000000000008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2317</v>
      </c>
      <c r="E101" s="106"/>
      <c r="F101" s="34">
        <f>SUM(F99:F100)</f>
        <v>131.43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2317</v>
      </c>
      <c r="E102" s="95" t="s">
        <v>19</v>
      </c>
      <c r="F102" s="33">
        <v>10.3835001490829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2317</v>
      </c>
      <c r="E103" s="106"/>
      <c r="F103" s="34">
        <f>F102</f>
        <v>10.3835001490829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55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60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1900</v>
      </c>
      <c r="E112" s="95" t="s">
        <v>19</v>
      </c>
      <c r="F112" s="135">
        <v>1.9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2317</v>
      </c>
      <c r="E113" s="95" t="s">
        <v>21</v>
      </c>
      <c r="F113" s="135">
        <v>3.48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18</v>
      </c>
      <c r="E114" s="95" t="s">
        <v>21</v>
      </c>
      <c r="F114" s="135">
        <v>32.4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4237</v>
      </c>
      <c r="E116" s="106"/>
      <c r="F116" s="34">
        <f>SUM(F112:F115)</f>
        <v>39.03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154</v>
      </c>
      <c r="E119" s="95" t="s">
        <v>19</v>
      </c>
      <c r="F119" s="135">
        <v>12.45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156</v>
      </c>
      <c r="E120" s="106"/>
      <c r="F120" s="54">
        <f>SUM(F118:F119)</f>
        <v>15.45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18</v>
      </c>
      <c r="E121" s="95" t="s">
        <v>19</v>
      </c>
      <c r="F121" s="135">
        <v>9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18</v>
      </c>
      <c r="E122" s="95" t="s">
        <v>19</v>
      </c>
      <c r="F122" s="135">
        <v>5.3999999999999995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18</v>
      </c>
      <c r="E123" s="106"/>
      <c r="F123" s="54">
        <f>SUM(F121:F122)</f>
        <v>14.399999999999999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135</v>
      </c>
      <c r="E124" s="95" t="s">
        <v>19</v>
      </c>
      <c r="F124" s="135">
        <v>13.5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135</v>
      </c>
      <c r="E125" s="95" t="s">
        <v>19</v>
      </c>
      <c r="F125" s="135">
        <v>16.2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135</v>
      </c>
      <c r="E126" s="106"/>
      <c r="F126" s="54">
        <f>SUM(F124:F125)</f>
        <v>29.7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882</v>
      </c>
      <c r="E133" s="95" t="s">
        <v>21</v>
      </c>
      <c r="F133" s="135">
        <v>26.46</v>
      </c>
      <c r="G133" s="143"/>
      <c r="H133" s="144"/>
      <c r="I133" s="144"/>
      <c r="J133" s="144"/>
      <c r="K133" s="133" t="s">
        <v>97</v>
      </c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44"/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882</v>
      </c>
      <c r="E134" s="106"/>
      <c r="F134" s="54">
        <f>F133+F132</f>
        <v>26.46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16</v>
      </c>
      <c r="E136" s="95" t="s">
        <v>19</v>
      </c>
      <c r="F136" s="135">
        <v>47.25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18</v>
      </c>
      <c r="E137" s="95" t="s">
        <v>19</v>
      </c>
      <c r="F137" s="135">
        <v>346.5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18</v>
      </c>
      <c r="E138" s="95" t="s">
        <v>19</v>
      </c>
      <c r="F138" s="135">
        <v>18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52</v>
      </c>
      <c r="E139" s="106"/>
      <c r="F139" s="54">
        <f>SUM(F136:F138)</f>
        <v>411.75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1443400</v>
      </c>
      <c r="E140" s="146"/>
      <c r="F140" s="148">
        <f>F10+F64+F68+F82+F90+F95+F98+F101+F103+F110+F116+F120+F123+F126+F130+F134+F139</f>
        <v>2949.5331001490827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A1:R1"/>
    <mergeCell ref="A2:R2"/>
    <mergeCell ref="G4:R4"/>
    <mergeCell ref="A4:A5"/>
    <mergeCell ref="B4:B5"/>
    <mergeCell ref="D4:D5"/>
    <mergeCell ref="E4:E5"/>
    <mergeCell ref="F4:F5"/>
    <mergeCell ref="C4:C5"/>
    <mergeCell ref="A50:B50"/>
    <mergeCell ref="A51:A54"/>
    <mergeCell ref="A55:A58"/>
    <mergeCell ref="A59:A62"/>
    <mergeCell ref="A64:B64"/>
    <mergeCell ref="A68:B68"/>
    <mergeCell ref="A69:A73"/>
    <mergeCell ref="B69:B73"/>
    <mergeCell ref="A74:C74"/>
    <mergeCell ref="A63:B63"/>
    <mergeCell ref="A33:A36"/>
    <mergeCell ref="A37:B37"/>
    <mergeCell ref="A38:A41"/>
    <mergeCell ref="A42:A45"/>
    <mergeCell ref="A46:A49"/>
    <mergeCell ref="A10:B10"/>
    <mergeCell ref="A12:A15"/>
    <mergeCell ref="A16:A19"/>
    <mergeCell ref="A20:A23"/>
    <mergeCell ref="A24:B24"/>
    <mergeCell ref="A25:A28"/>
    <mergeCell ref="A29:A32"/>
    <mergeCell ref="G74:R74"/>
    <mergeCell ref="A75:A77"/>
    <mergeCell ref="B75:B77"/>
    <mergeCell ref="E75:E77"/>
    <mergeCell ref="G75:K77"/>
    <mergeCell ref="P75:R75"/>
    <mergeCell ref="P76:R76"/>
    <mergeCell ref="P77:R77"/>
    <mergeCell ref="E69:E73"/>
    <mergeCell ref="G69:K73"/>
    <mergeCell ref="P69:R69"/>
    <mergeCell ref="P70:R70"/>
    <mergeCell ref="P71:R71"/>
    <mergeCell ref="P72:R72"/>
    <mergeCell ref="P73:R73"/>
    <mergeCell ref="G78:R78"/>
    <mergeCell ref="A81:B81"/>
    <mergeCell ref="A82:C82"/>
    <mergeCell ref="E84:E89"/>
    <mergeCell ref="G84:L84"/>
    <mergeCell ref="A78:C78"/>
    <mergeCell ref="P85:R85"/>
    <mergeCell ref="P86:R86"/>
    <mergeCell ref="P87:R87"/>
    <mergeCell ref="P88:R88"/>
    <mergeCell ref="P89:R89"/>
    <mergeCell ref="P79:R7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honeticPr fontId="2" type="noConversion"/>
  <printOptions horizontalCentered="1"/>
  <pageMargins left="0" right="0" top="0.39370078740157483" bottom="0.39370078740157483" header="0.31496062992125984" footer="0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72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101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500</v>
      </c>
      <c r="E17" s="95" t="s">
        <v>19</v>
      </c>
      <c r="F17" s="114">
        <f>500*775/100000</f>
        <v>3.875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500</v>
      </c>
      <c r="E18" s="95" t="s">
        <v>19</v>
      </c>
      <c r="F18" s="33">
        <f>500*11220/100000</f>
        <v>56.1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500</v>
      </c>
      <c r="E19" s="95" t="s">
        <v>19</v>
      </c>
      <c r="F19" s="33">
        <f>500*500/100000</f>
        <v>2.5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500</v>
      </c>
      <c r="E24" s="95"/>
      <c r="F24" s="34">
        <f>SUM(F13:F23)</f>
        <v>62.475000000000001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700</v>
      </c>
      <c r="E34" s="95" t="s">
        <v>19</v>
      </c>
      <c r="F34" s="114">
        <v>4.0199999999999996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700</v>
      </c>
      <c r="E35" s="95" t="s">
        <v>19</v>
      </c>
      <c r="F35" s="33">
        <v>52.36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700</v>
      </c>
      <c r="E36" s="95" t="s">
        <v>19</v>
      </c>
      <c r="F36" s="33">
        <v>3.5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700</v>
      </c>
      <c r="E37" s="95"/>
      <c r="F37" s="34">
        <f>SUM(F26:F36)</f>
        <v>59.879999999999995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1437</v>
      </c>
      <c r="E43" s="95" t="s">
        <v>19</v>
      </c>
      <c r="F43" s="117">
        <v>0.96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1437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1437</v>
      </c>
      <c r="E45" s="95" t="s">
        <v>19</v>
      </c>
      <c r="F45" s="117">
        <v>7.18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1345</v>
      </c>
      <c r="E47" s="95" t="s">
        <v>19</v>
      </c>
      <c r="F47" s="117">
        <v>0.9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1345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1345</v>
      </c>
      <c r="E49" s="95" t="s">
        <v>19</v>
      </c>
      <c r="F49" s="117">
        <v>6.72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2782</v>
      </c>
      <c r="E50" s="95"/>
      <c r="F50" s="34">
        <f>SUM(F39:F49)</f>
        <v>15.760000000000002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3982</v>
      </c>
      <c r="E64" s="106"/>
      <c r="F64" s="120">
        <f>+F63+F50+F37+F24</f>
        <v>138.11500000000001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21607</v>
      </c>
      <c r="E66" s="121" t="s">
        <v>19</v>
      </c>
      <c r="F66" s="33">
        <f>D66*0.0003</f>
        <v>6.4820999999999991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21607</v>
      </c>
      <c r="E67" s="95" t="s">
        <v>78</v>
      </c>
      <c r="F67" s="33">
        <f>D67*0.0003</f>
        <v>6.4820999999999991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21607</v>
      </c>
      <c r="E68" s="106"/>
      <c r="F68" s="34">
        <f>SUM(F66:F67)</f>
        <v>12.964199999999998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81077</v>
      </c>
      <c r="E69" s="204" t="s">
        <v>17</v>
      </c>
      <c r="F69" s="63">
        <v>121.61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78873</v>
      </c>
      <c r="E70" s="205"/>
      <c r="F70" s="56">
        <v>118.31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82907</v>
      </c>
      <c r="E71" s="205"/>
      <c r="F71" s="56">
        <v>124.36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79343</v>
      </c>
      <c r="E72" s="205"/>
      <c r="F72" s="56">
        <v>119.01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78126</v>
      </c>
      <c r="E73" s="206"/>
      <c r="F73" s="56">
        <v>117.19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400326</v>
      </c>
      <c r="E74" s="95"/>
      <c r="F74" s="54">
        <f>F69+F70+F71+F72+F73</f>
        <v>600.48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63779</v>
      </c>
      <c r="E75" s="204" t="s">
        <v>17</v>
      </c>
      <c r="F75" s="56">
        <v>159.44999999999999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59524</v>
      </c>
      <c r="E76" s="205"/>
      <c r="F76" s="56">
        <v>148.81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46369</v>
      </c>
      <c r="E77" s="206"/>
      <c r="F77" s="56">
        <v>116.51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169672</v>
      </c>
      <c r="E78" s="95"/>
      <c r="F78" s="36">
        <f>F75+F76+F77</f>
        <v>424.77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904</v>
      </c>
      <c r="E79" s="95" t="s">
        <v>19</v>
      </c>
      <c r="F79" s="33">
        <v>1.67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904</v>
      </c>
      <c r="E81" s="106"/>
      <c r="F81" s="120">
        <f>F80+F79</f>
        <v>1.67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570902</v>
      </c>
      <c r="E82" s="106"/>
      <c r="F82" s="120">
        <f>F81+F78+F74</f>
        <v>1026.92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569998</v>
      </c>
      <c r="E85" s="172"/>
      <c r="F85" s="33">
        <v>142.5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11303</v>
      </c>
      <c r="E86" s="172"/>
      <c r="F86" s="33">
        <v>1.69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2872</v>
      </c>
      <c r="E87" s="172"/>
      <c r="F87" s="33">
        <v>0.43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2872</v>
      </c>
      <c r="E88" s="172"/>
      <c r="F88" s="33">
        <v>21.54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942</v>
      </c>
      <c r="E89" s="173"/>
      <c r="F89" s="33">
        <v>9.42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587987</v>
      </c>
      <c r="E90" s="106"/>
      <c r="F90" s="34">
        <f>SUM(F84:F89)</f>
        <v>175.57999999999998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77558</v>
      </c>
      <c r="E91" s="193" t="s">
        <v>35</v>
      </c>
      <c r="F91" s="117">
        <v>310.23200000000003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22239</v>
      </c>
      <c r="E92" s="193"/>
      <c r="F92" s="117">
        <v>88.956000000000003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4410</v>
      </c>
      <c r="E93" s="193"/>
      <c r="F93" s="117">
        <v>17.64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107410</v>
      </c>
      <c r="E94" s="193"/>
      <c r="F94" s="117">
        <v>429.64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211617</v>
      </c>
      <c r="E95" s="106"/>
      <c r="F95" s="34">
        <f>SUM(F91:F94)</f>
        <v>846.46800000000007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1930</v>
      </c>
      <c r="E99" s="174" t="s">
        <v>19</v>
      </c>
      <c r="F99" s="33">
        <v>96.5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942</v>
      </c>
      <c r="E100" s="174"/>
      <c r="F100" s="33">
        <v>65.940000000000012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2872</v>
      </c>
      <c r="E101" s="106"/>
      <c r="F101" s="34">
        <f>SUM(F99:F100)</f>
        <v>162.44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2872</v>
      </c>
      <c r="E102" s="95" t="s">
        <v>19</v>
      </c>
      <c r="F102" s="33">
        <v>12.87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2872</v>
      </c>
      <c r="E103" s="106"/>
      <c r="F103" s="34">
        <f>F102</f>
        <v>12.87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62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55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60">
        <v>6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13.5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2249</v>
      </c>
      <c r="E112" s="95" t="s">
        <v>19</v>
      </c>
      <c r="F112" s="135">
        <v>2.25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2872</v>
      </c>
      <c r="E113" s="95" t="s">
        <v>21</v>
      </c>
      <c r="F113" s="135">
        <v>4.3079999999999998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17</v>
      </c>
      <c r="E114" s="95" t="s">
        <v>21</v>
      </c>
      <c r="F114" s="135">
        <v>30.6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5140</v>
      </c>
      <c r="E116" s="106"/>
      <c r="F116" s="34">
        <f>SUM(F112:F115)</f>
        <v>38.408000000000001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170</v>
      </c>
      <c r="E119" s="95" t="s">
        <v>19</v>
      </c>
      <c r="F119" s="135">
        <v>13.27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172</v>
      </c>
      <c r="E120" s="106"/>
      <c r="F120" s="54">
        <f>SUM(F118:F119)</f>
        <v>16.27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17</v>
      </c>
      <c r="E121" s="95" t="s">
        <v>19</v>
      </c>
      <c r="F121" s="135">
        <v>8.5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17</v>
      </c>
      <c r="E122" s="95" t="s">
        <v>19</v>
      </c>
      <c r="F122" s="135">
        <v>5.0999999999999996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17</v>
      </c>
      <c r="E123" s="106"/>
      <c r="F123" s="54">
        <f>SUM(F121:F122)</f>
        <v>13.6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152</v>
      </c>
      <c r="E124" s="95" t="s">
        <v>19</v>
      </c>
      <c r="F124" s="135">
        <v>15.200000000000001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152</v>
      </c>
      <c r="E125" s="95" t="s">
        <v>19</v>
      </c>
      <c r="F125" s="135">
        <v>18.239999999999998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152</v>
      </c>
      <c r="E126" s="106"/>
      <c r="F126" s="54">
        <f>SUM(F124:F125)</f>
        <v>33.44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818</v>
      </c>
      <c r="E133" s="95" t="s">
        <v>21</v>
      </c>
      <c r="F133" s="135">
        <v>24.54</v>
      </c>
      <c r="G133" s="143"/>
      <c r="H133" s="144"/>
      <c r="I133" s="144"/>
      <c r="J133" s="144"/>
      <c r="K133" s="144"/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818</v>
      </c>
      <c r="E134" s="106"/>
      <c r="F134" s="54">
        <f>F133+F132</f>
        <v>24.54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12</v>
      </c>
      <c r="E136" s="95" t="s">
        <v>19</v>
      </c>
      <c r="F136" s="135">
        <v>9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16</v>
      </c>
      <c r="E137" s="95" t="s">
        <v>19</v>
      </c>
      <c r="F137" s="135">
        <v>308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16</v>
      </c>
      <c r="E138" s="95" t="s">
        <v>19</v>
      </c>
      <c r="F138" s="135">
        <v>16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44</v>
      </c>
      <c r="E139" s="106"/>
      <c r="F139" s="54">
        <f>SUM(F136:F138)</f>
        <v>333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1408183</v>
      </c>
      <c r="E140" s="146"/>
      <c r="F140" s="148">
        <f>F10+F64+F68+F82+F90+F95+F98+F101+F103+F110+F116+F120+F123+F126+F130+F134+F139</f>
        <v>2848.1151999999997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A51:A54"/>
    <mergeCell ref="A55:A58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6692913385826772" right="0.19685039370078741" top="0.39370078740157483" bottom="0.27559055118110237" header="0.31496062992125984" footer="0.15748031496062992"/>
  <pageSetup paperSize="9" scale="70" orientation="landscape" r:id="rId1"/>
  <rowBreaks count="2" manualBreakCount="2">
    <brk id="34" max="17" man="1"/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102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1113</v>
      </c>
      <c r="E17" s="95" t="s">
        <v>19</v>
      </c>
      <c r="F17" s="114">
        <f>1113*775/100000</f>
        <v>8.62575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1113</v>
      </c>
      <c r="E18" s="95" t="s">
        <v>19</v>
      </c>
      <c r="F18" s="33">
        <f>1113*11220/100000</f>
        <v>124.87860000000001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1113</v>
      </c>
      <c r="E19" s="95" t="s">
        <v>19</v>
      </c>
      <c r="F19" s="33">
        <f>1113*500/100000</f>
        <v>5.5650000000000004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1113</v>
      </c>
      <c r="E24" s="95"/>
      <c r="F24" s="34">
        <f>SUM(F13:F23)</f>
        <v>139.06935000000001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450</v>
      </c>
      <c r="E34" s="95" t="s">
        <v>19</v>
      </c>
      <c r="F34" s="114">
        <v>2.59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450</v>
      </c>
      <c r="E35" s="95" t="s">
        <v>19</v>
      </c>
      <c r="F35" s="33">
        <v>33.659999999999997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450</v>
      </c>
      <c r="E36" s="95" t="s">
        <v>19</v>
      </c>
      <c r="F36" s="33">
        <v>2.25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450</v>
      </c>
      <c r="E37" s="95"/>
      <c r="F37" s="34">
        <f>SUM(F26:F36)</f>
        <v>38.5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917</v>
      </c>
      <c r="E43" s="95" t="s">
        <v>19</v>
      </c>
      <c r="F43" s="117">
        <v>0.61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917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917</v>
      </c>
      <c r="E45" s="95" t="s">
        <v>19</v>
      </c>
      <c r="F45" s="117">
        <v>4.59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0</v>
      </c>
      <c r="E47" s="95" t="s">
        <v>19</v>
      </c>
      <c r="F47" s="34">
        <v>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0</v>
      </c>
      <c r="E49" s="95" t="s">
        <v>19</v>
      </c>
      <c r="F49" s="34">
        <v>0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917</v>
      </c>
      <c r="E50" s="95"/>
      <c r="F50" s="34">
        <f>SUM(F39:F49)</f>
        <v>5.2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2480</v>
      </c>
      <c r="E64" s="106"/>
      <c r="F64" s="120">
        <f>+F63+F50+F37+F24</f>
        <v>182.76935000000003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20929</v>
      </c>
      <c r="E66" s="121" t="s">
        <v>19</v>
      </c>
      <c r="F66" s="33">
        <f>D66*0.0003</f>
        <v>6.2786999999999997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20929</v>
      </c>
      <c r="E67" s="95" t="s">
        <v>78</v>
      </c>
      <c r="F67" s="33">
        <f>D67*0.0003</f>
        <v>6.2786999999999997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20929</v>
      </c>
      <c r="E68" s="106"/>
      <c r="F68" s="34">
        <f>SUM(F66:F67)</f>
        <v>12.557399999999999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71426</v>
      </c>
      <c r="E69" s="204" t="s">
        <v>17</v>
      </c>
      <c r="F69" s="63">
        <v>107.15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66511</v>
      </c>
      <c r="E70" s="205"/>
      <c r="F70" s="56">
        <v>99.76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68582</v>
      </c>
      <c r="E71" s="205"/>
      <c r="F71" s="56">
        <v>102.87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68492</v>
      </c>
      <c r="E72" s="205"/>
      <c r="F72" s="56">
        <v>102.74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64063</v>
      </c>
      <c r="E73" s="206"/>
      <c r="F73" s="56">
        <v>96.09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339074</v>
      </c>
      <c r="E74" s="95"/>
      <c r="F74" s="54">
        <f>F69+F70+F71+F72+F73</f>
        <v>508.61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56478</v>
      </c>
      <c r="E75" s="204" t="s">
        <v>17</v>
      </c>
      <c r="F75" s="56">
        <v>141.19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51724</v>
      </c>
      <c r="E76" s="205"/>
      <c r="F76" s="56">
        <v>129.31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43789</v>
      </c>
      <c r="E77" s="206"/>
      <c r="F77" s="56">
        <v>109.97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151991</v>
      </c>
      <c r="E78" s="95"/>
      <c r="F78" s="36">
        <f>F75+F76+F77</f>
        <v>380.47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154</v>
      </c>
      <c r="E79" s="95" t="s">
        <v>19</v>
      </c>
      <c r="F79" s="33">
        <v>0.26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562</v>
      </c>
      <c r="E80" s="95" t="s">
        <v>19</v>
      </c>
      <c r="F80" s="33">
        <v>1.03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716</v>
      </c>
      <c r="E81" s="106"/>
      <c r="F81" s="120">
        <f>F80+F79</f>
        <v>1.29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491781</v>
      </c>
      <c r="E82" s="106"/>
      <c r="F82" s="120">
        <f>F81+F78+F74</f>
        <v>890.37000000000012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491065</v>
      </c>
      <c r="E85" s="172"/>
      <c r="F85" s="33">
        <v>122.77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11286</v>
      </c>
      <c r="E86" s="172"/>
      <c r="F86" s="33">
        <v>1.7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2897</v>
      </c>
      <c r="E87" s="172"/>
      <c r="F87" s="33">
        <v>0.43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2897</v>
      </c>
      <c r="E88" s="172"/>
      <c r="F88" s="33">
        <v>21.72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854</v>
      </c>
      <c r="E89" s="173"/>
      <c r="F89" s="33">
        <v>8.5399999999999991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508999</v>
      </c>
      <c r="E90" s="106"/>
      <c r="F90" s="34">
        <f>SUM(F84:F89)</f>
        <v>155.16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68053</v>
      </c>
      <c r="E91" s="193" t="s">
        <v>35</v>
      </c>
      <c r="F91" s="117">
        <v>272.21199999999999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29029</v>
      </c>
      <c r="E92" s="193"/>
      <c r="F92" s="117">
        <v>116.116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1363</v>
      </c>
      <c r="E93" s="193"/>
      <c r="F93" s="117">
        <v>5.452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88534</v>
      </c>
      <c r="E94" s="193"/>
      <c r="F94" s="117">
        <v>354.13600000000002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186979</v>
      </c>
      <c r="E95" s="106"/>
      <c r="F95" s="34">
        <f>SUM(F91:F94)</f>
        <v>747.91599999999994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2043</v>
      </c>
      <c r="E99" s="174" t="s">
        <v>19</v>
      </c>
      <c r="F99" s="33">
        <v>102.15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854</v>
      </c>
      <c r="E100" s="174"/>
      <c r="F100" s="33">
        <v>59.780000000000008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2897</v>
      </c>
      <c r="E101" s="106"/>
      <c r="F101" s="34">
        <f>SUM(F99:F100)</f>
        <v>161.93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2897</v>
      </c>
      <c r="E102" s="95" t="s">
        <v>19</v>
      </c>
      <c r="F102" s="33">
        <v>12.98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2897</v>
      </c>
      <c r="E103" s="106"/>
      <c r="F103" s="34">
        <f>F102</f>
        <v>12.98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4.5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18.5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2555</v>
      </c>
      <c r="E112" s="95" t="s">
        <v>19</v>
      </c>
      <c r="F112" s="135">
        <v>2.5499999999999998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2897</v>
      </c>
      <c r="E113" s="95" t="s">
        <v>21</v>
      </c>
      <c r="F113" s="135">
        <v>4.3499999999999996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14</v>
      </c>
      <c r="E114" s="95" t="s">
        <v>21</v>
      </c>
      <c r="F114" s="135">
        <v>25.2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5468</v>
      </c>
      <c r="E116" s="106"/>
      <c r="F116" s="34">
        <f>SUM(F112:F115)</f>
        <v>33.35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174</v>
      </c>
      <c r="E119" s="95" t="s">
        <v>19</v>
      </c>
      <c r="F119" s="135">
        <v>13.09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176</v>
      </c>
      <c r="E120" s="106"/>
      <c r="F120" s="54">
        <f>SUM(F118:F119)</f>
        <v>16.09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14</v>
      </c>
      <c r="E121" s="95" t="s">
        <v>19</v>
      </c>
      <c r="F121" s="135">
        <v>7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14</v>
      </c>
      <c r="E122" s="95" t="s">
        <v>19</v>
      </c>
      <c r="F122" s="135">
        <v>4.2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14</v>
      </c>
      <c r="E123" s="106"/>
      <c r="F123" s="54">
        <f>SUM(F121:F122)</f>
        <v>11.2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159</v>
      </c>
      <c r="E124" s="95" t="s">
        <v>19</v>
      </c>
      <c r="F124" s="135">
        <v>15.9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159</v>
      </c>
      <c r="E125" s="95" t="s">
        <v>19</v>
      </c>
      <c r="F125" s="135">
        <v>19.079999999999998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159</v>
      </c>
      <c r="E126" s="106"/>
      <c r="F126" s="54">
        <f>SUM(F124:F125)</f>
        <v>34.979999999999997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150</v>
      </c>
      <c r="E133" s="95" t="s">
        <v>21</v>
      </c>
      <c r="F133" s="135">
        <v>4.5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150</v>
      </c>
      <c r="E134" s="106"/>
      <c r="F134" s="54">
        <f>F133+F132</f>
        <v>4.5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14</v>
      </c>
      <c r="E136" s="95" t="s">
        <v>19</v>
      </c>
      <c r="F136" s="135">
        <v>10.5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14</v>
      </c>
      <c r="E137" s="95" t="s">
        <v>19</v>
      </c>
      <c r="F137" s="135">
        <v>269.5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14</v>
      </c>
      <c r="E138" s="95" t="s">
        <v>19</v>
      </c>
      <c r="F138" s="135">
        <v>14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42</v>
      </c>
      <c r="E139" s="106"/>
      <c r="F139" s="54">
        <f>SUM(F136:F138)</f>
        <v>294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1222972</v>
      </c>
      <c r="E140" s="146"/>
      <c r="F140" s="148">
        <f>F10+F64+F68+F82+F90+F95+F98+F101+F103+F110+F116+F120+F123+F126+F130+F134+F139</f>
        <v>2576.3027499999998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  <mergeCell ref="E69:E73"/>
    <mergeCell ref="G69:K73"/>
    <mergeCell ref="P69:R69"/>
    <mergeCell ref="P70:R70"/>
    <mergeCell ref="P71:R71"/>
    <mergeCell ref="P72:R72"/>
    <mergeCell ref="P73:R73"/>
    <mergeCell ref="A55:A58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P80:R80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" right="0" top="0.39370078740157483" bottom="0.39370078740157483" header="0.31496062992125984" footer="0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132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166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330</v>
      </c>
      <c r="E17" s="95" t="s">
        <v>19</v>
      </c>
      <c r="F17" s="114">
        <f>330*775/100000</f>
        <v>2.5575000000000001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330</v>
      </c>
      <c r="E18" s="95" t="s">
        <v>19</v>
      </c>
      <c r="F18" s="33">
        <f>330*11220/100000</f>
        <v>37.026000000000003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330</v>
      </c>
      <c r="E19" s="95" t="s">
        <v>19</v>
      </c>
      <c r="F19" s="33">
        <f>330*500/100000</f>
        <v>1.65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330</v>
      </c>
      <c r="E24" s="95"/>
      <c r="F24" s="34">
        <f>SUM(F13:F23)</f>
        <v>41.233499999999999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0</v>
      </c>
      <c r="E34" s="95" t="s">
        <v>19</v>
      </c>
      <c r="F34" s="114"/>
      <c r="G34" s="106"/>
      <c r="H34" s="106"/>
      <c r="I34" s="106"/>
      <c r="J34" s="106"/>
      <c r="K34" s="106"/>
      <c r="L34" s="106"/>
      <c r="M34" s="115"/>
      <c r="N34" s="115"/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0</v>
      </c>
      <c r="E35" s="95" t="s">
        <v>19</v>
      </c>
      <c r="F35" s="33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>
      <c r="A36" s="191"/>
      <c r="B36" s="111" t="s">
        <v>96</v>
      </c>
      <c r="C36" s="111" t="s">
        <v>42</v>
      </c>
      <c r="D36" s="65">
        <v>0</v>
      </c>
      <c r="E36" s="95" t="s">
        <v>19</v>
      </c>
      <c r="F36" s="33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>
      <c r="A37" s="185" t="s">
        <v>159</v>
      </c>
      <c r="B37" s="187"/>
      <c r="C37" s="111"/>
      <c r="D37" s="94">
        <f>+D34+D30+D26</f>
        <v>0</v>
      </c>
      <c r="E37" s="95"/>
      <c r="F37" s="34">
        <f>SUM(F26:F36)</f>
        <v>0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0</v>
      </c>
      <c r="E43" s="95" t="s">
        <v>19</v>
      </c>
      <c r="F43" s="117"/>
      <c r="G43" s="99"/>
      <c r="H43" s="99"/>
      <c r="I43" s="99"/>
      <c r="J43" s="99"/>
      <c r="K43" s="99"/>
      <c r="L43" s="99"/>
      <c r="M43" s="115"/>
      <c r="N43" s="115"/>
      <c r="O43" s="115"/>
      <c r="P43" s="115"/>
      <c r="Q43" s="115"/>
      <c r="R43" s="115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0</v>
      </c>
      <c r="E45" s="95" t="s">
        <v>19</v>
      </c>
      <c r="F45" s="117"/>
      <c r="G45" s="99"/>
      <c r="H45" s="99"/>
      <c r="I45" s="99"/>
      <c r="J45" s="99"/>
      <c r="K45" s="99"/>
      <c r="L45" s="99"/>
      <c r="M45" s="115"/>
      <c r="N45" s="115"/>
      <c r="O45" s="115"/>
      <c r="P45" s="115"/>
      <c r="Q45" s="115"/>
      <c r="R45" s="115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685</v>
      </c>
      <c r="E47" s="95" t="s">
        <v>19</v>
      </c>
      <c r="F47" s="117">
        <v>0.46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685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685</v>
      </c>
      <c r="E49" s="95" t="s">
        <v>19</v>
      </c>
      <c r="F49" s="117">
        <v>3.42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685</v>
      </c>
      <c r="E50" s="95"/>
      <c r="F50" s="34">
        <f>SUM(F39:F49)</f>
        <v>3.88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1015</v>
      </c>
      <c r="E64" s="106"/>
      <c r="F64" s="120">
        <f>+F63+F50+F37+F24</f>
        <v>45.113500000000002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14363</v>
      </c>
      <c r="E66" s="121" t="s">
        <v>19</v>
      </c>
      <c r="F66" s="33">
        <f>D66*0.0003</f>
        <v>4.3088999999999995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14363</v>
      </c>
      <c r="E67" s="95" t="s">
        <v>78</v>
      </c>
      <c r="F67" s="33">
        <f>D67*0.0003</f>
        <v>4.3088999999999995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14363</v>
      </c>
      <c r="E68" s="106"/>
      <c r="F68" s="34">
        <f>SUM(F66:F67)</f>
        <v>8.617799999999999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45004</v>
      </c>
      <c r="E69" s="204" t="s">
        <v>17</v>
      </c>
      <c r="F69" s="63">
        <v>67.510000000000005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44961</v>
      </c>
      <c r="E70" s="205"/>
      <c r="F70" s="56">
        <v>67.44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49093</v>
      </c>
      <c r="E71" s="205"/>
      <c r="F71" s="56">
        <v>73.64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51800</v>
      </c>
      <c r="E72" s="205"/>
      <c r="F72" s="56">
        <v>77.7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50137</v>
      </c>
      <c r="E73" s="206"/>
      <c r="F73" s="56">
        <v>75.2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240995</v>
      </c>
      <c r="E74" s="95"/>
      <c r="F74" s="54">
        <f>F69+F70+F71+F72+F73</f>
        <v>361.48999999999995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43955</v>
      </c>
      <c r="E75" s="204" t="s">
        <v>17</v>
      </c>
      <c r="F75" s="54">
        <v>109.89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41156</v>
      </c>
      <c r="E76" s="205"/>
      <c r="F76" s="54">
        <v>102.89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33348</v>
      </c>
      <c r="E77" s="206"/>
      <c r="F77" s="55">
        <v>83.63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118459</v>
      </c>
      <c r="E78" s="95"/>
      <c r="F78" s="36">
        <f>F75+F76+F77</f>
        <v>296.40999999999997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380</v>
      </c>
      <c r="E79" s="95" t="s">
        <v>19</v>
      </c>
      <c r="F79" s="33">
        <v>0.69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380</v>
      </c>
      <c r="E81" s="106"/>
      <c r="F81" s="120">
        <f>F80+F79</f>
        <v>0.69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359834</v>
      </c>
      <c r="E82" s="106"/>
      <c r="F82" s="120">
        <f>F81+F78+F74</f>
        <v>658.58999999999992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359454</v>
      </c>
      <c r="E85" s="172"/>
      <c r="F85" s="33">
        <v>89.86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7296</v>
      </c>
      <c r="E86" s="172"/>
      <c r="F86" s="33">
        <v>1.0900000000000001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1687</v>
      </c>
      <c r="E87" s="172"/>
      <c r="F87" s="33">
        <v>0.25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1687</v>
      </c>
      <c r="E88" s="172"/>
      <c r="F88" s="33">
        <v>12.66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503</v>
      </c>
      <c r="E89" s="173"/>
      <c r="F89" s="33">
        <v>5.03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370627</v>
      </c>
      <c r="E90" s="106"/>
      <c r="F90" s="34">
        <f>SUM(F84:F89)</f>
        <v>108.89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44071</v>
      </c>
      <c r="E91" s="193" t="s">
        <v>35</v>
      </c>
      <c r="F91" s="117">
        <v>176.28399999999999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19090</v>
      </c>
      <c r="E92" s="193"/>
      <c r="F92" s="117">
        <v>76.36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1997</v>
      </c>
      <c r="E93" s="193"/>
      <c r="F93" s="117">
        <v>7.9880000000000004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64973</v>
      </c>
      <c r="E94" s="193"/>
      <c r="F94" s="117">
        <v>259.892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130131</v>
      </c>
      <c r="E95" s="106"/>
      <c r="F95" s="34">
        <f>SUM(F91:F94)</f>
        <v>520.524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1184</v>
      </c>
      <c r="E99" s="174" t="s">
        <v>19</v>
      </c>
      <c r="F99" s="33">
        <v>59.2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503</v>
      </c>
      <c r="E100" s="174"/>
      <c r="F100" s="33">
        <v>35.21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1687</v>
      </c>
      <c r="E101" s="106"/>
      <c r="F101" s="34">
        <f>SUM(F99:F100)</f>
        <v>94.41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1687</v>
      </c>
      <c r="E102" s="95" t="s">
        <v>19</v>
      </c>
      <c r="F102" s="33">
        <v>7.56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1687</v>
      </c>
      <c r="E103" s="106"/>
      <c r="F103" s="34">
        <f>F102</f>
        <v>7.56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17.5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1208</v>
      </c>
      <c r="E112" s="95" t="s">
        <v>19</v>
      </c>
      <c r="F112" s="135">
        <v>1.21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1687</v>
      </c>
      <c r="E113" s="95" t="s">
        <v>21</v>
      </c>
      <c r="F113" s="135">
        <v>2.5299999999999998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11</v>
      </c>
      <c r="E114" s="95" t="s">
        <v>21</v>
      </c>
      <c r="F114" s="135">
        <v>19.8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2908</v>
      </c>
      <c r="E116" s="106"/>
      <c r="F116" s="34">
        <f>SUM(F112:F115)</f>
        <v>24.79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107</v>
      </c>
      <c r="E119" s="95" t="s">
        <v>19</v>
      </c>
      <c r="F119" s="135">
        <v>8.65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109</v>
      </c>
      <c r="E120" s="106"/>
      <c r="F120" s="54">
        <f>SUM(F118:F119)</f>
        <v>11.65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11</v>
      </c>
      <c r="E121" s="95" t="s">
        <v>19</v>
      </c>
      <c r="F121" s="135">
        <v>5.5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11</v>
      </c>
      <c r="E122" s="95" t="s">
        <v>19</v>
      </c>
      <c r="F122" s="135">
        <v>3.3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11</v>
      </c>
      <c r="E123" s="106"/>
      <c r="F123" s="54">
        <f>SUM(F121:F122)</f>
        <v>8.8000000000000007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95</v>
      </c>
      <c r="E124" s="95" t="s">
        <v>19</v>
      </c>
      <c r="F124" s="135">
        <v>9.5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95</v>
      </c>
      <c r="E125" s="95" t="s">
        <v>19</v>
      </c>
      <c r="F125" s="135">
        <v>11.4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95</v>
      </c>
      <c r="E126" s="106"/>
      <c r="F126" s="54">
        <f>SUM(F124:F125)</f>
        <v>20.9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645</v>
      </c>
      <c r="E133" s="95" t="s">
        <v>21</v>
      </c>
      <c r="F133" s="135">
        <v>19.350000000000001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645</v>
      </c>
      <c r="E134" s="106"/>
      <c r="F134" s="54">
        <f>F133+F132</f>
        <v>19.350000000000001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11</v>
      </c>
      <c r="E136" s="95" t="s">
        <v>19</v>
      </c>
      <c r="F136" s="135">
        <v>8.2899999999999991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11</v>
      </c>
      <c r="E137" s="95" t="s">
        <v>19</v>
      </c>
      <c r="F137" s="135">
        <v>211.75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11</v>
      </c>
      <c r="E138" s="95" t="s">
        <v>19</v>
      </c>
      <c r="F138" s="135">
        <v>11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33</v>
      </c>
      <c r="E139" s="106"/>
      <c r="F139" s="54">
        <f>SUM(F136:F138)</f>
        <v>231.04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883146</v>
      </c>
      <c r="E140" s="146"/>
      <c r="F140" s="148">
        <f>F10+F64+F68+F82+F90+F95+F98+F101+F103+F110+F116+F120+F123+F126+F130+F134+F139</f>
        <v>1777.7352999999998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  <mergeCell ref="E69:E73"/>
    <mergeCell ref="G69:K73"/>
    <mergeCell ref="P69:R69"/>
    <mergeCell ref="P70:R70"/>
    <mergeCell ref="P71:R71"/>
    <mergeCell ref="P72:R72"/>
    <mergeCell ref="P73:R73"/>
    <mergeCell ref="A55:A58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" right="0" top="0.39370078740157483" bottom="0.39370078740157483" header="0.31496062992125984" footer="0"/>
  <pageSetup paperSize="9" scale="68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129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98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4480</v>
      </c>
      <c r="E17" s="95" t="s">
        <v>19</v>
      </c>
      <c r="F17" s="114">
        <f>4480*775/100000</f>
        <v>34.72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4480</v>
      </c>
      <c r="E18" s="95" t="s">
        <v>19</v>
      </c>
      <c r="F18" s="33">
        <f>4480*11220/100000</f>
        <v>502.65600000000001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4480</v>
      </c>
      <c r="E19" s="95" t="s">
        <v>19</v>
      </c>
      <c r="F19" s="33">
        <f>4480*500/100000</f>
        <v>22.4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4480</v>
      </c>
      <c r="E24" s="95"/>
      <c r="F24" s="34">
        <f>SUM(F13:F23)</f>
        <v>559.77599999999995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1363</v>
      </c>
      <c r="E34" s="95" t="s">
        <v>19</v>
      </c>
      <c r="F34" s="114">
        <v>7.84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1363</v>
      </c>
      <c r="E35" s="95" t="s">
        <v>19</v>
      </c>
      <c r="F35" s="33">
        <v>101.95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1363</v>
      </c>
      <c r="E36" s="95" t="s">
        <v>19</v>
      </c>
      <c r="F36" s="33">
        <v>6.82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1363</v>
      </c>
      <c r="E37" s="95"/>
      <c r="F37" s="34">
        <f>SUM(F26:F36)</f>
        <v>116.61000000000001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0</v>
      </c>
      <c r="E43" s="95" t="s">
        <v>19</v>
      </c>
      <c r="F43" s="11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0</v>
      </c>
      <c r="E45" s="95" t="s">
        <v>19</v>
      </c>
      <c r="F45" s="11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7717</v>
      </c>
      <c r="E47" s="95" t="s">
        <v>19</v>
      </c>
      <c r="F47" s="117">
        <v>5.17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7717</v>
      </c>
      <c r="E48" s="95" t="s">
        <v>19</v>
      </c>
      <c r="F48" s="117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7717</v>
      </c>
      <c r="E49" s="95" t="s">
        <v>19</v>
      </c>
      <c r="F49" s="117">
        <v>38.590000000000003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7717</v>
      </c>
      <c r="E50" s="95"/>
      <c r="F50" s="34">
        <f>SUM(F39:F49)</f>
        <v>43.760000000000005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13560</v>
      </c>
      <c r="E64" s="106"/>
      <c r="F64" s="120">
        <f>+F63+F50+F37+F24</f>
        <v>720.14599999999996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26779</v>
      </c>
      <c r="E66" s="121" t="s">
        <v>19</v>
      </c>
      <c r="F66" s="33">
        <f>D66*0.0003</f>
        <v>8.0336999999999996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26779</v>
      </c>
      <c r="E67" s="95" t="s">
        <v>78</v>
      </c>
      <c r="F67" s="33">
        <f>D67*0.0003</f>
        <v>8.0336999999999996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26779</v>
      </c>
      <c r="E68" s="106"/>
      <c r="F68" s="34">
        <f>SUM(F66:F67)</f>
        <v>16.067399999999999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96500</v>
      </c>
      <c r="E69" s="204" t="s">
        <v>17</v>
      </c>
      <c r="F69" s="63">
        <v>144.75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101807</v>
      </c>
      <c r="E70" s="205"/>
      <c r="F70" s="56">
        <v>152.72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113803</v>
      </c>
      <c r="E71" s="205"/>
      <c r="F71" s="56">
        <v>170.7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106641</v>
      </c>
      <c r="E72" s="205"/>
      <c r="F72" s="56">
        <v>159.96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97023</v>
      </c>
      <c r="E73" s="206"/>
      <c r="F73" s="56">
        <v>145.53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515774</v>
      </c>
      <c r="E74" s="95"/>
      <c r="F74" s="54">
        <f>F69+F70+F71+F72+F73</f>
        <v>773.66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79148</v>
      </c>
      <c r="E75" s="204" t="s">
        <v>17</v>
      </c>
      <c r="F75" s="56">
        <v>197.87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72564</v>
      </c>
      <c r="E76" s="205"/>
      <c r="F76" s="56">
        <v>181.41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60724</v>
      </c>
      <c r="E77" s="206"/>
      <c r="F77" s="56">
        <v>151.81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212436</v>
      </c>
      <c r="E78" s="95"/>
      <c r="F78" s="36">
        <f>F75+F76+F77</f>
        <v>531.08999999999992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728210</v>
      </c>
      <c r="E82" s="106"/>
      <c r="F82" s="120">
        <f>F81+F78+F74</f>
        <v>1304.75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728210</v>
      </c>
      <c r="E85" s="172"/>
      <c r="F85" s="33">
        <v>182.05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14224</v>
      </c>
      <c r="E86" s="172"/>
      <c r="F86" s="33">
        <v>2.13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3536</v>
      </c>
      <c r="E87" s="172"/>
      <c r="F87" s="33">
        <v>0.53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3536</v>
      </c>
      <c r="E88" s="172"/>
      <c r="F88" s="33">
        <v>26.52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1018</v>
      </c>
      <c r="E89" s="173"/>
      <c r="F89" s="33">
        <v>10.18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750524</v>
      </c>
      <c r="E90" s="106"/>
      <c r="F90" s="34">
        <f>SUM(F84:F89)</f>
        <v>221.41000000000003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94843</v>
      </c>
      <c r="E91" s="193" t="s">
        <v>35</v>
      </c>
      <c r="F91" s="117">
        <v>379.37200000000001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38468</v>
      </c>
      <c r="E92" s="193"/>
      <c r="F92" s="117">
        <v>153.87200000000001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112</v>
      </c>
      <c r="E93" s="193"/>
      <c r="F93" s="117">
        <v>0.44800000000000001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129135</v>
      </c>
      <c r="E94" s="193"/>
      <c r="F94" s="117">
        <v>516.54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262558</v>
      </c>
      <c r="E95" s="106"/>
      <c r="F95" s="34">
        <f>SUM(F91:F94)</f>
        <v>1050.232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2518</v>
      </c>
      <c r="E99" s="174" t="s">
        <v>19</v>
      </c>
      <c r="F99" s="33">
        <v>125.9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1018</v>
      </c>
      <c r="E100" s="174"/>
      <c r="F100" s="33">
        <v>71.260000000000005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3536</v>
      </c>
      <c r="E101" s="106"/>
      <c r="F101" s="34">
        <f>SUM(F99:F100)</f>
        <v>197.16000000000003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3536</v>
      </c>
      <c r="E102" s="95" t="s">
        <v>19</v>
      </c>
      <c r="F102" s="33">
        <v>15.85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3536</v>
      </c>
      <c r="E103" s="106"/>
      <c r="F103" s="34">
        <f>F102</f>
        <v>15.85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16.5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2543</v>
      </c>
      <c r="E112" s="95" t="s">
        <v>19</v>
      </c>
      <c r="F112" s="135">
        <v>2.54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3536</v>
      </c>
      <c r="E113" s="95" t="s">
        <v>21</v>
      </c>
      <c r="F113" s="135">
        <v>5.3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19</v>
      </c>
      <c r="E114" s="95" t="s">
        <v>21</v>
      </c>
      <c r="F114" s="135">
        <v>34.200000000000003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6100</v>
      </c>
      <c r="E116" s="106"/>
      <c r="F116" s="34">
        <f>SUM(F112:F115)</f>
        <v>43.290000000000006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211</v>
      </c>
      <c r="E119" s="95" t="s">
        <v>19</v>
      </c>
      <c r="F119" s="135">
        <v>16.010000000000002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213</v>
      </c>
      <c r="E120" s="106"/>
      <c r="F120" s="54">
        <f>SUM(F118:F119)</f>
        <v>19.010000000000002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19</v>
      </c>
      <c r="E121" s="95" t="s">
        <v>19</v>
      </c>
      <c r="F121" s="135">
        <v>9.5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19</v>
      </c>
      <c r="E122" s="95" t="s">
        <v>19</v>
      </c>
      <c r="F122" s="135">
        <v>5.7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19</v>
      </c>
      <c r="E123" s="106"/>
      <c r="F123" s="54">
        <f>SUM(F121:F122)</f>
        <v>15.2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191</v>
      </c>
      <c r="E124" s="95" t="s">
        <v>19</v>
      </c>
      <c r="F124" s="135">
        <v>19.100000000000001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191</v>
      </c>
      <c r="E125" s="95" t="s">
        <v>19</v>
      </c>
      <c r="F125" s="135">
        <v>22.919999999999998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191</v>
      </c>
      <c r="E126" s="106"/>
      <c r="F126" s="54">
        <f>SUM(F124:F125)</f>
        <v>42.019999999999996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830</v>
      </c>
      <c r="E133" s="95" t="s">
        <v>21</v>
      </c>
      <c r="F133" s="135">
        <v>24.9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830</v>
      </c>
      <c r="E134" s="106"/>
      <c r="F134" s="54">
        <f>F133+F132</f>
        <v>24.9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3</v>
      </c>
      <c r="E136" s="95" t="s">
        <v>19</v>
      </c>
      <c r="F136" s="135">
        <v>13.3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18</v>
      </c>
      <c r="E137" s="95" t="s">
        <v>19</v>
      </c>
      <c r="F137" s="135">
        <v>346.5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18</v>
      </c>
      <c r="E138" s="95" t="s">
        <v>19</v>
      </c>
      <c r="F138" s="135">
        <v>18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39</v>
      </c>
      <c r="E139" s="106"/>
      <c r="F139" s="54">
        <f>SUM(F136:F138)</f>
        <v>377.8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1796096</v>
      </c>
      <c r="E140" s="146"/>
      <c r="F140" s="148">
        <f>F10+F64+F68+F82+F90+F95+F98+F101+F103+F110+F116+F120+F123+F126+F130+F134+F139</f>
        <v>4064.3353999999999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57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>
      <c r="A2" s="197" t="s">
        <v>103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750</v>
      </c>
      <c r="E17" s="95" t="s">
        <v>19</v>
      </c>
      <c r="F17" s="114">
        <f>750*775/100000</f>
        <v>5.8125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750</v>
      </c>
      <c r="E18" s="95" t="s">
        <v>19</v>
      </c>
      <c r="F18" s="33">
        <f>750*11220/100000</f>
        <v>84.15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>
      <c r="A19" s="191"/>
      <c r="B19" s="111" t="s">
        <v>96</v>
      </c>
      <c r="C19" s="111" t="s">
        <v>42</v>
      </c>
      <c r="D19" s="65">
        <v>750</v>
      </c>
      <c r="E19" s="95" t="s">
        <v>19</v>
      </c>
      <c r="F19" s="33">
        <f>750*500/100000</f>
        <v>3.75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750</v>
      </c>
      <c r="E24" s="95"/>
      <c r="F24" s="34">
        <f>SUM(F13:F23)</f>
        <v>93.712500000000006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9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800</v>
      </c>
      <c r="E34" s="95" t="s">
        <v>19</v>
      </c>
      <c r="F34" s="114">
        <v>4.5999999999999996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>
      <c r="A35" s="190"/>
      <c r="B35" s="111" t="s">
        <v>76</v>
      </c>
      <c r="C35" s="111" t="s">
        <v>42</v>
      </c>
      <c r="D35" s="65">
        <v>800</v>
      </c>
      <c r="E35" s="95" t="s">
        <v>19</v>
      </c>
      <c r="F35" s="33">
        <v>59.84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800</v>
      </c>
      <c r="E36" s="95" t="s">
        <v>19</v>
      </c>
      <c r="F36" s="33">
        <v>4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800</v>
      </c>
      <c r="E37" s="95"/>
      <c r="F37" s="34">
        <f>SUM(F26:F36)</f>
        <v>68.44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0</v>
      </c>
      <c r="E43" s="95" t="s">
        <v>19</v>
      </c>
      <c r="F43" s="11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0</v>
      </c>
      <c r="E45" s="95" t="s">
        <v>19</v>
      </c>
      <c r="F45" s="11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>
      <c r="A47" s="190"/>
      <c r="B47" s="111" t="s">
        <v>75</v>
      </c>
      <c r="C47" s="111" t="s">
        <v>42</v>
      </c>
      <c r="D47" s="65">
        <v>3765</v>
      </c>
      <c r="E47" s="95" t="s">
        <v>19</v>
      </c>
      <c r="F47" s="117">
        <v>2.52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3765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3765</v>
      </c>
      <c r="E49" s="95" t="s">
        <v>19</v>
      </c>
      <c r="F49" s="117">
        <v>18.82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3765</v>
      </c>
      <c r="E50" s="95"/>
      <c r="F50" s="34">
        <f>SUM(F39:F49)</f>
        <v>21.34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5315</v>
      </c>
      <c r="E64" s="106"/>
      <c r="F64" s="120">
        <f>+F63+F50+F37+F24</f>
        <v>183.49250000000001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37295</v>
      </c>
      <c r="E66" s="121" t="s">
        <v>19</v>
      </c>
      <c r="F66" s="33">
        <f>D66*0.0003</f>
        <v>11.188499999999999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30">
      <c r="A67" s="106"/>
      <c r="B67" s="111" t="s">
        <v>77</v>
      </c>
      <c r="C67" s="111" t="s">
        <v>116</v>
      </c>
      <c r="D67" s="65">
        <v>37295</v>
      </c>
      <c r="E67" s="95" t="s">
        <v>78</v>
      </c>
      <c r="F67" s="33">
        <f>D67*0.0003</f>
        <v>11.188499999999999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37295</v>
      </c>
      <c r="E68" s="106"/>
      <c r="F68" s="34">
        <f>SUM(F66:F67)</f>
        <v>22.376999999999999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155145</v>
      </c>
      <c r="E69" s="204" t="s">
        <v>17</v>
      </c>
      <c r="F69" s="63">
        <v>232.72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146490</v>
      </c>
      <c r="E70" s="205"/>
      <c r="F70" s="56">
        <v>219.73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>
      <c r="A71" s="172"/>
      <c r="B71" s="172"/>
      <c r="C71" s="95" t="s">
        <v>148</v>
      </c>
      <c r="D71" s="65">
        <v>150695</v>
      </c>
      <c r="E71" s="205"/>
      <c r="F71" s="56">
        <v>226.05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143419</v>
      </c>
      <c r="E72" s="205"/>
      <c r="F72" s="56">
        <v>215.12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131488</v>
      </c>
      <c r="E73" s="206"/>
      <c r="F73" s="56">
        <v>197.23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 ht="15" customHeight="1">
      <c r="A74" s="185" t="s">
        <v>162</v>
      </c>
      <c r="B74" s="186"/>
      <c r="C74" s="187"/>
      <c r="D74" s="60">
        <f>D69+D70+D71+D72+D73</f>
        <v>727237</v>
      </c>
      <c r="E74" s="95"/>
      <c r="F74" s="54">
        <f>F69+F70+F71+F72+F73</f>
        <v>1090.8499999999999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 ht="15" customHeight="1">
      <c r="A75" s="174">
        <v>4.01</v>
      </c>
      <c r="B75" s="174" t="s">
        <v>155</v>
      </c>
      <c r="C75" s="95" t="s">
        <v>151</v>
      </c>
      <c r="D75" s="65">
        <v>108212</v>
      </c>
      <c r="E75" s="204" t="s">
        <v>17</v>
      </c>
      <c r="F75" s="54">
        <v>270.52999999999997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>
      <c r="A76" s="174"/>
      <c r="B76" s="174"/>
      <c r="C76" s="95" t="s">
        <v>152</v>
      </c>
      <c r="D76" s="65">
        <v>101541</v>
      </c>
      <c r="E76" s="205"/>
      <c r="F76" s="54">
        <v>253.85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>
      <c r="A77" s="174"/>
      <c r="B77" s="174"/>
      <c r="C77" s="95" t="s">
        <v>153</v>
      </c>
      <c r="D77" s="66">
        <v>82047</v>
      </c>
      <c r="E77" s="206"/>
      <c r="F77" s="55">
        <v>205.12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15" customHeight="1">
      <c r="A78" s="185" t="s">
        <v>162</v>
      </c>
      <c r="B78" s="186"/>
      <c r="C78" s="187"/>
      <c r="D78" s="61">
        <f>D75+D76+D77</f>
        <v>291800</v>
      </c>
      <c r="E78" s="95"/>
      <c r="F78" s="36">
        <f>F75+F76+F77</f>
        <v>729.5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30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>
      <c r="A82" s="185" t="s">
        <v>163</v>
      </c>
      <c r="B82" s="186"/>
      <c r="C82" s="187"/>
      <c r="D82" s="125">
        <f>D81+D78+D74</f>
        <v>1019037</v>
      </c>
      <c r="E82" s="106"/>
      <c r="F82" s="120">
        <f>F81+F78+F74</f>
        <v>1820.35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45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1019037</v>
      </c>
      <c r="E85" s="172"/>
      <c r="F85" s="33">
        <v>254.76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19479</v>
      </c>
      <c r="E86" s="172"/>
      <c r="F86" s="33">
        <v>2.92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 ht="29.25" customHeight="1">
      <c r="A87" s="95"/>
      <c r="B87" s="116" t="s">
        <v>124</v>
      </c>
      <c r="C87" s="116" t="s">
        <v>48</v>
      </c>
      <c r="D87" s="66">
        <v>4778</v>
      </c>
      <c r="E87" s="172"/>
      <c r="F87" s="33">
        <v>0.72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4778</v>
      </c>
      <c r="E88" s="172"/>
      <c r="F88" s="33">
        <v>35.83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1393</v>
      </c>
      <c r="E89" s="173"/>
      <c r="F89" s="33">
        <v>13.93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 ht="25.5" customHeight="1">
      <c r="A90" s="188" t="s">
        <v>69</v>
      </c>
      <c r="B90" s="188"/>
      <c r="C90" s="106"/>
      <c r="D90" s="94">
        <f>SUM(D84:D89)</f>
        <v>1049465</v>
      </c>
      <c r="E90" s="106"/>
      <c r="F90" s="34">
        <f>SUM(F84:F89)</f>
        <v>308.16000000000003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 ht="25.5" customHeight="1">
      <c r="A91" s="171">
        <v>6</v>
      </c>
      <c r="B91" s="171" t="s">
        <v>23</v>
      </c>
      <c r="C91" s="113" t="s">
        <v>127</v>
      </c>
      <c r="D91" s="65">
        <v>146508</v>
      </c>
      <c r="E91" s="193" t="s">
        <v>35</v>
      </c>
      <c r="F91" s="117">
        <v>586.03200000000004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 customHeight="1">
      <c r="A92" s="172"/>
      <c r="B92" s="172"/>
      <c r="C92" s="113" t="s">
        <v>128</v>
      </c>
      <c r="D92" s="65">
        <v>44288</v>
      </c>
      <c r="E92" s="193"/>
      <c r="F92" s="117">
        <v>177.15200000000002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 customHeight="1">
      <c r="A93" s="172"/>
      <c r="B93" s="172"/>
      <c r="C93" s="113" t="s">
        <v>129</v>
      </c>
      <c r="D93" s="65">
        <v>1290</v>
      </c>
      <c r="E93" s="193"/>
      <c r="F93" s="117">
        <v>5.16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 customHeight="1">
      <c r="A94" s="172"/>
      <c r="B94" s="172"/>
      <c r="C94" s="113" t="s">
        <v>130</v>
      </c>
      <c r="D94" s="65">
        <v>198180</v>
      </c>
      <c r="E94" s="193"/>
      <c r="F94" s="117">
        <v>792.72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 ht="25.5" customHeight="1">
      <c r="A95" s="188" t="s">
        <v>69</v>
      </c>
      <c r="B95" s="188"/>
      <c r="C95" s="106"/>
      <c r="D95" s="94">
        <f>SUM(D91:D94)</f>
        <v>390266</v>
      </c>
      <c r="E95" s="106"/>
      <c r="F95" s="34">
        <f>SUM(F91:F94)</f>
        <v>1561.0640000000001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4.5" customHeight="1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 customHeight="1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 ht="25.5" customHeight="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4.5" customHeight="1">
      <c r="A99" s="174">
        <v>8</v>
      </c>
      <c r="B99" s="192" t="s">
        <v>18</v>
      </c>
      <c r="C99" s="131" t="s">
        <v>38</v>
      </c>
      <c r="D99" s="66">
        <v>3385</v>
      </c>
      <c r="E99" s="174" t="s">
        <v>19</v>
      </c>
      <c r="F99" s="33">
        <v>169.25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 customHeight="1">
      <c r="A100" s="174"/>
      <c r="B100" s="192"/>
      <c r="C100" s="131" t="s">
        <v>39</v>
      </c>
      <c r="D100" s="66">
        <v>1393</v>
      </c>
      <c r="E100" s="174"/>
      <c r="F100" s="33">
        <v>97.51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 ht="25.5" customHeight="1">
      <c r="A101" s="188" t="s">
        <v>69</v>
      </c>
      <c r="B101" s="188"/>
      <c r="C101" s="106"/>
      <c r="D101" s="94">
        <f>SUM(D99:D100)</f>
        <v>4778</v>
      </c>
      <c r="E101" s="106"/>
      <c r="F101" s="34">
        <f>SUM(F99:F100)</f>
        <v>266.76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4778</v>
      </c>
      <c r="E102" s="95" t="s">
        <v>19</v>
      </c>
      <c r="F102" s="33">
        <v>21.412327886196849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 ht="25.5" customHeight="1">
      <c r="A103" s="188" t="s">
        <v>69</v>
      </c>
      <c r="B103" s="188"/>
      <c r="C103" s="106"/>
      <c r="D103" s="94">
        <f>SUM(D102)</f>
        <v>4778</v>
      </c>
      <c r="E103" s="106"/>
      <c r="F103" s="34">
        <f>F102</f>
        <v>21.412327886196849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 ht="25.5" customHeight="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55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60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 ht="25.5" customHeight="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4042</v>
      </c>
      <c r="E112" s="95" t="s">
        <v>19</v>
      </c>
      <c r="F112" s="135">
        <v>4.04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4778</v>
      </c>
      <c r="E113" s="95" t="s">
        <v>21</v>
      </c>
      <c r="F113" s="135">
        <v>7.17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27</v>
      </c>
      <c r="E114" s="95" t="s">
        <v>21</v>
      </c>
      <c r="F114" s="135">
        <v>48.6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 ht="25.5" customHeight="1">
      <c r="A116" s="188" t="s">
        <v>69</v>
      </c>
      <c r="B116" s="188"/>
      <c r="C116" s="106"/>
      <c r="D116" s="94">
        <f>SUM(D112:D115)</f>
        <v>8849</v>
      </c>
      <c r="E116" s="106"/>
      <c r="F116" s="34">
        <f>SUM(F112:F115)</f>
        <v>61.06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281</v>
      </c>
      <c r="E119" s="95" t="s">
        <v>19</v>
      </c>
      <c r="F119" s="135">
        <v>21.58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283</v>
      </c>
      <c r="E120" s="106"/>
      <c r="F120" s="54">
        <f>SUM(F118:F119)</f>
        <v>24.58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27</v>
      </c>
      <c r="E121" s="95" t="s">
        <v>19</v>
      </c>
      <c r="F121" s="135">
        <v>13.5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27</v>
      </c>
      <c r="E122" s="95" t="s">
        <v>19</v>
      </c>
      <c r="F122" s="135">
        <v>8.1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27</v>
      </c>
      <c r="E123" s="106"/>
      <c r="F123" s="54">
        <f>SUM(F121:F122)</f>
        <v>21.6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253</v>
      </c>
      <c r="E124" s="95" t="s">
        <v>19</v>
      </c>
      <c r="F124" s="135">
        <v>25.3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253</v>
      </c>
      <c r="E125" s="95" t="s">
        <v>19</v>
      </c>
      <c r="F125" s="135">
        <v>30.36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253</v>
      </c>
      <c r="E126" s="106"/>
      <c r="F126" s="54">
        <f>SUM(F124:F125)</f>
        <v>55.66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 ht="15" customHeight="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1190</v>
      </c>
      <c r="E133" s="95" t="s">
        <v>21</v>
      </c>
      <c r="F133" s="135">
        <v>35.700000000000003</v>
      </c>
      <c r="G133" s="143"/>
      <c r="H133" s="144"/>
      <c r="I133" s="144"/>
      <c r="J133" s="144"/>
      <c r="K133" s="144"/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1190</v>
      </c>
      <c r="E134" s="106"/>
      <c r="F134" s="54">
        <f>F133+F132</f>
        <v>35.700000000000003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23</v>
      </c>
      <c r="E136" s="95" t="s">
        <v>19</v>
      </c>
      <c r="F136" s="135">
        <v>17.25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27</v>
      </c>
      <c r="E137" s="95" t="s">
        <v>19</v>
      </c>
      <c r="F137" s="135">
        <v>519.75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27</v>
      </c>
      <c r="E138" s="95" t="s">
        <v>19</v>
      </c>
      <c r="F138" s="135">
        <v>27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77</v>
      </c>
      <c r="E139" s="106"/>
      <c r="F139" s="54">
        <f>SUM(F136:F138)</f>
        <v>564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2521614</v>
      </c>
      <c r="E140" s="146"/>
      <c r="F140" s="148">
        <f>F10+F64+F68+F82+F90+F95+F98+F101+F103+F110+F116+F120+F123+F126+F130+F134+F139</f>
        <v>4968.715827886198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23.25" customHeight="1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23.25" customHeight="1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23.25" customHeight="1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95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1057</v>
      </c>
      <c r="E17" s="95" t="s">
        <v>19</v>
      </c>
      <c r="F17" s="114">
        <f>1057*775/100000</f>
        <v>8.1917500000000008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1057</v>
      </c>
      <c r="E18" s="95" t="s">
        <v>19</v>
      </c>
      <c r="F18" s="33">
        <f>1057*11220/100000</f>
        <v>118.5954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1057</v>
      </c>
      <c r="E19" s="95" t="s">
        <v>19</v>
      </c>
      <c r="F19" s="33">
        <f>1057*500/100000</f>
        <v>5.2850000000000001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48.75" customHeight="1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1057</v>
      </c>
      <c r="E24" s="95"/>
      <c r="F24" s="34">
        <f>SUM(F13:F23)</f>
        <v>132.07214999999999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50.25" customHeight="1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 ht="63.75" customHeight="1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 ht="50.25" customHeight="1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 ht="49.5" customHeight="1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50.25" customHeight="1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1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1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16.5" customHeight="1">
      <c r="A34" s="190"/>
      <c r="B34" s="111" t="s">
        <v>75</v>
      </c>
      <c r="C34" s="111" t="s">
        <v>42</v>
      </c>
      <c r="D34" s="65">
        <v>650</v>
      </c>
      <c r="E34" s="95" t="s">
        <v>19</v>
      </c>
      <c r="F34" s="114">
        <v>3.74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15" customHeight="1">
      <c r="A35" s="190"/>
      <c r="B35" s="111" t="s">
        <v>76</v>
      </c>
      <c r="C35" s="111" t="s">
        <v>42</v>
      </c>
      <c r="D35" s="65">
        <v>650</v>
      </c>
      <c r="E35" s="95" t="s">
        <v>19</v>
      </c>
      <c r="F35" s="33">
        <v>48.62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650</v>
      </c>
      <c r="E36" s="95" t="s">
        <v>19</v>
      </c>
      <c r="F36" s="33">
        <v>3.25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650</v>
      </c>
      <c r="E37" s="95"/>
      <c r="F37" s="34">
        <f>SUM(F26:F36)</f>
        <v>55.61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1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1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1352</v>
      </c>
      <c r="E43" s="95" t="s">
        <v>19</v>
      </c>
      <c r="F43" s="117">
        <v>0.9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1352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1352</v>
      </c>
      <c r="E45" s="95" t="s">
        <v>19</v>
      </c>
      <c r="F45" s="117">
        <v>6.76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671</v>
      </c>
      <c r="E47" s="95" t="s">
        <v>19</v>
      </c>
      <c r="F47" s="117">
        <v>0.45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671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671</v>
      </c>
      <c r="E49" s="95" t="s">
        <v>19</v>
      </c>
      <c r="F49" s="117">
        <v>3.35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2023</v>
      </c>
      <c r="E50" s="95"/>
      <c r="F50" s="34">
        <f>SUM(F39:F49)</f>
        <v>11.459999999999999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1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3730</v>
      </c>
      <c r="E64" s="106"/>
      <c r="F64" s="120">
        <f>+F63+F50+F37+F24</f>
        <v>199.14214999999999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26470</v>
      </c>
      <c r="E66" s="121" t="s">
        <v>19</v>
      </c>
      <c r="F66" s="33">
        <f>D66*0.0003</f>
        <v>7.9409999999999989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26470</v>
      </c>
      <c r="E67" s="95" t="s">
        <v>78</v>
      </c>
      <c r="F67" s="33">
        <f>D67*0.0003</f>
        <v>7.9409999999999989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26470</v>
      </c>
      <c r="E68" s="106"/>
      <c r="F68" s="34">
        <f>SUM(F66:F67)</f>
        <v>15.881999999999998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30" customHeight="1">
      <c r="A69" s="171">
        <v>4</v>
      </c>
      <c r="B69" s="171" t="s">
        <v>154</v>
      </c>
      <c r="C69" s="95" t="s">
        <v>146</v>
      </c>
      <c r="D69" s="65">
        <v>127388</v>
      </c>
      <c r="E69" s="204" t="s">
        <v>17</v>
      </c>
      <c r="F69" s="63">
        <v>191.08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 ht="30" customHeight="1">
      <c r="A70" s="172"/>
      <c r="B70" s="172"/>
      <c r="C70" s="95" t="s">
        <v>147</v>
      </c>
      <c r="D70" s="65">
        <v>116140</v>
      </c>
      <c r="E70" s="205"/>
      <c r="F70" s="56">
        <v>174.21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118921</v>
      </c>
      <c r="E71" s="205"/>
      <c r="F71" s="56">
        <v>178.38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122350</v>
      </c>
      <c r="E72" s="205"/>
      <c r="F72" s="56">
        <v>183.52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113760</v>
      </c>
      <c r="E73" s="206"/>
      <c r="F73" s="56">
        <v>170.64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598559</v>
      </c>
      <c r="E74" s="95"/>
      <c r="F74" s="54">
        <f>F69+F70+F71+F72+F73</f>
        <v>897.83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83750</v>
      </c>
      <c r="E75" s="204" t="s">
        <v>17</v>
      </c>
      <c r="F75" s="54">
        <v>209.37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79307</v>
      </c>
      <c r="E76" s="205"/>
      <c r="F76" s="54">
        <v>198.27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6.5" customHeight="1">
      <c r="A77" s="174"/>
      <c r="B77" s="174"/>
      <c r="C77" s="95" t="s">
        <v>153</v>
      </c>
      <c r="D77" s="66">
        <v>68957</v>
      </c>
      <c r="E77" s="206"/>
      <c r="F77" s="55">
        <v>172.71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 ht="23.25" customHeight="1">
      <c r="A78" s="185" t="s">
        <v>162</v>
      </c>
      <c r="B78" s="186"/>
      <c r="C78" s="187"/>
      <c r="D78" s="61">
        <f>D75+D76+D77</f>
        <v>232014</v>
      </c>
      <c r="E78" s="95"/>
      <c r="F78" s="36">
        <f>F75+F76+F77</f>
        <v>580.35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446</v>
      </c>
      <c r="E79" s="95" t="s">
        <v>19</v>
      </c>
      <c r="F79" s="33">
        <v>0.8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94">
        <f>D80+D79</f>
        <v>446</v>
      </c>
      <c r="E81" s="106"/>
      <c r="F81" s="120">
        <f>F80+F79</f>
        <v>0.8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831019</v>
      </c>
      <c r="E82" s="106"/>
      <c r="F82" s="120">
        <f>F81+F78+F74</f>
        <v>1478.98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35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>
      <c r="A85" s="95"/>
      <c r="B85" s="116" t="s">
        <v>84</v>
      </c>
      <c r="C85" s="116" t="s">
        <v>42</v>
      </c>
      <c r="D85" s="66">
        <v>830573</v>
      </c>
      <c r="E85" s="172"/>
      <c r="F85" s="33">
        <v>207.64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13975</v>
      </c>
      <c r="E86" s="172"/>
      <c r="F86" s="33">
        <v>2.1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4607</v>
      </c>
      <c r="E87" s="172"/>
      <c r="F87" s="33">
        <v>0.69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4607</v>
      </c>
      <c r="E88" s="172"/>
      <c r="F88" s="33">
        <v>34.549999999999997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1436</v>
      </c>
      <c r="E89" s="173"/>
      <c r="F89" s="33">
        <v>14.36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855198</v>
      </c>
      <c r="E90" s="106"/>
      <c r="F90" s="34">
        <f>SUM(F84:F89)</f>
        <v>259.33999999999997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122995</v>
      </c>
      <c r="E91" s="193" t="s">
        <v>35</v>
      </c>
      <c r="F91" s="117">
        <v>491.98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86531</v>
      </c>
      <c r="E92" s="193"/>
      <c r="F92" s="117">
        <v>346.12400000000002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656</v>
      </c>
      <c r="E93" s="193"/>
      <c r="F93" s="117">
        <v>2.6240000000000001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114817</v>
      </c>
      <c r="E94" s="193"/>
      <c r="F94" s="117">
        <v>459.26800000000003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324999</v>
      </c>
      <c r="E95" s="106"/>
      <c r="F95" s="34">
        <f>SUM(F91:F94)</f>
        <v>1299.9960000000001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3171</v>
      </c>
      <c r="E99" s="174" t="s">
        <v>19</v>
      </c>
      <c r="F99" s="33">
        <v>158.55000000000001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1436</v>
      </c>
      <c r="E100" s="174"/>
      <c r="F100" s="33">
        <v>100.52000000000001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4607</v>
      </c>
      <c r="E101" s="106"/>
      <c r="F101" s="34">
        <f>SUM(F99:F100)</f>
        <v>259.07000000000005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4607</v>
      </c>
      <c r="E102" s="95" t="s">
        <v>19</v>
      </c>
      <c r="F102" s="33">
        <v>20.64600137540998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4607</v>
      </c>
      <c r="E103" s="106"/>
      <c r="F103" s="34">
        <f>F102</f>
        <v>20.64600137540998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55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60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16.5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3195</v>
      </c>
      <c r="E112" s="95" t="s">
        <v>19</v>
      </c>
      <c r="F112" s="135">
        <v>3.19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4607</v>
      </c>
      <c r="E113" s="95" t="s">
        <v>21</v>
      </c>
      <c r="F113" s="135">
        <v>6.91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24</v>
      </c>
      <c r="E114" s="95" t="s">
        <v>21</v>
      </c>
      <c r="F114" s="135">
        <v>43.2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7828</v>
      </c>
      <c r="E116" s="106"/>
      <c r="F116" s="34">
        <f>SUM(F112:F115)</f>
        <v>54.550000000000004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277</v>
      </c>
      <c r="E119" s="95" t="s">
        <v>19</v>
      </c>
      <c r="F119" s="135">
        <v>20.92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279</v>
      </c>
      <c r="E120" s="106"/>
      <c r="F120" s="54">
        <f>SUM(F118:F119)</f>
        <v>23.92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24</v>
      </c>
      <c r="E121" s="95" t="s">
        <v>19</v>
      </c>
      <c r="F121" s="135">
        <v>12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24</v>
      </c>
      <c r="E122" s="95" t="s">
        <v>19</v>
      </c>
      <c r="F122" s="135">
        <v>7.1999999999999993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24</v>
      </c>
      <c r="E123" s="106"/>
      <c r="F123" s="54">
        <f>SUM(F121:F122)</f>
        <v>19.2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252</v>
      </c>
      <c r="E124" s="95" t="s">
        <v>19</v>
      </c>
      <c r="F124" s="135">
        <v>25.200000000000003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252</v>
      </c>
      <c r="E125" s="95" t="s">
        <v>19</v>
      </c>
      <c r="F125" s="135">
        <v>30.24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252</v>
      </c>
      <c r="E126" s="106"/>
      <c r="F126" s="54">
        <f>SUM(F124:F125)</f>
        <v>55.44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1710</v>
      </c>
      <c r="E133" s="95" t="s">
        <v>21</v>
      </c>
      <c r="F133" s="135">
        <v>51.3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1710</v>
      </c>
      <c r="E134" s="106"/>
      <c r="F134" s="54">
        <f>F133+F132</f>
        <v>51.3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11</v>
      </c>
      <c r="E136" s="95" t="s">
        <v>19</v>
      </c>
      <c r="F136" s="135">
        <v>60.95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24</v>
      </c>
      <c r="E137" s="95" t="s">
        <v>19</v>
      </c>
      <c r="F137" s="135">
        <v>462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24</v>
      </c>
      <c r="E138" s="95" t="s">
        <v>19</v>
      </c>
      <c r="F138" s="135">
        <v>24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59</v>
      </c>
      <c r="E139" s="106"/>
      <c r="F139" s="54">
        <f>SUM(F136:F138)</f>
        <v>546.95000000000005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2060783</v>
      </c>
      <c r="E140" s="146"/>
      <c r="F140" s="148">
        <f>F10+F64+F68+F82+F90+F95+F98+F101+F103+F110+F116+F120+F123+F126+F130+F134+F139</f>
        <v>4300.9161513754107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A63:B6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A33:A36"/>
    <mergeCell ref="A37:B37"/>
    <mergeCell ref="A38:A41"/>
    <mergeCell ref="A42:A45"/>
    <mergeCell ref="A46:A49"/>
    <mergeCell ref="A16:A19"/>
    <mergeCell ref="A20:A23"/>
    <mergeCell ref="A24:B24"/>
    <mergeCell ref="A25:A28"/>
    <mergeCell ref="A29:A32"/>
    <mergeCell ref="G74:R74"/>
    <mergeCell ref="A75:A77"/>
    <mergeCell ref="B75:B77"/>
    <mergeCell ref="E75:E77"/>
    <mergeCell ref="G75:K77"/>
    <mergeCell ref="P75:R75"/>
    <mergeCell ref="P76:R76"/>
    <mergeCell ref="P77:R77"/>
    <mergeCell ref="A50:B50"/>
    <mergeCell ref="A51:A54"/>
    <mergeCell ref="A55:A58"/>
    <mergeCell ref="A59:A62"/>
    <mergeCell ref="A64:B64"/>
    <mergeCell ref="A68:B68"/>
    <mergeCell ref="A69:A73"/>
    <mergeCell ref="B69:B73"/>
    <mergeCell ref="E69:E73"/>
    <mergeCell ref="G69:K73"/>
    <mergeCell ref="P69:R69"/>
    <mergeCell ref="P70:R70"/>
    <mergeCell ref="P71:R71"/>
    <mergeCell ref="P72:R72"/>
    <mergeCell ref="P73:R73"/>
    <mergeCell ref="A74:C74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.19685039370078741" right="0.31496062992125984" top="0.47244094488188981" bottom="0.31496062992125984" header="0.27559055118110237" footer="0.15748031496062992"/>
  <pageSetup paperSize="9" scale="66" orientation="landscape" r:id="rId1"/>
  <rowBreaks count="3" manualBreakCount="3">
    <brk id="25" max="17" man="1"/>
    <brk id="40" max="17" man="1"/>
    <brk id="60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48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104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693</v>
      </c>
      <c r="E17" s="95" t="s">
        <v>19</v>
      </c>
      <c r="F17" s="114">
        <f>693*775/100000</f>
        <v>5.3707500000000001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693</v>
      </c>
      <c r="E18" s="95" t="s">
        <v>19</v>
      </c>
      <c r="F18" s="33">
        <f>693*11220/100000</f>
        <v>77.754599999999996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693</v>
      </c>
      <c r="E19" s="95" t="s">
        <v>19</v>
      </c>
      <c r="F19" s="33">
        <f>693*500/100000</f>
        <v>3.4649999999999999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693</v>
      </c>
      <c r="E24" s="95"/>
      <c r="F24" s="34">
        <f>SUM(F13:F23)</f>
        <v>86.590350000000001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600</v>
      </c>
      <c r="E34" s="95" t="s">
        <v>19</v>
      </c>
      <c r="F34" s="114">
        <v>3.45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600</v>
      </c>
      <c r="E35" s="95" t="s">
        <v>19</v>
      </c>
      <c r="F35" s="33">
        <v>44.88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600</v>
      </c>
      <c r="E36" s="95" t="s">
        <v>19</v>
      </c>
      <c r="F36" s="33">
        <v>3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600</v>
      </c>
      <c r="E37" s="95"/>
      <c r="F37" s="34">
        <f>SUM(F26:F36)</f>
        <v>51.330000000000005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298</v>
      </c>
      <c r="E43" s="95" t="s">
        <v>19</v>
      </c>
      <c r="F43" s="117">
        <v>0.2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298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298</v>
      </c>
      <c r="E45" s="95" t="s">
        <v>19</v>
      </c>
      <c r="F45" s="117">
        <v>1.49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573</v>
      </c>
      <c r="E47" s="95" t="s">
        <v>19</v>
      </c>
      <c r="F47" s="117">
        <v>0.38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573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115" t="s">
        <v>97</v>
      </c>
      <c r="N48" s="115" t="s">
        <v>97</v>
      </c>
      <c r="O48" s="115" t="s">
        <v>97</v>
      </c>
      <c r="P48" s="115" t="s">
        <v>97</v>
      </c>
      <c r="Q48" s="115" t="s">
        <v>97</v>
      </c>
      <c r="R48" s="115" t="s">
        <v>97</v>
      </c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573</v>
      </c>
      <c r="E49" s="95" t="s">
        <v>19</v>
      </c>
      <c r="F49" s="117">
        <v>2.86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871</v>
      </c>
      <c r="E50" s="95"/>
      <c r="F50" s="34">
        <f>SUM(F39:F49)</f>
        <v>4.93</v>
      </c>
      <c r="G50" s="99"/>
      <c r="H50" s="99"/>
      <c r="I50" s="99"/>
      <c r="J50" s="99"/>
      <c r="K50" s="99"/>
      <c r="L50" s="99"/>
      <c r="M50" s="115" t="s">
        <v>97</v>
      </c>
      <c r="N50" s="115" t="s">
        <v>97</v>
      </c>
      <c r="O50" s="115" t="s">
        <v>97</v>
      </c>
      <c r="P50" s="115" t="s">
        <v>97</v>
      </c>
      <c r="Q50" s="115" t="s">
        <v>97</v>
      </c>
      <c r="R50" s="115" t="s">
        <v>97</v>
      </c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2164</v>
      </c>
      <c r="E64" s="106"/>
      <c r="F64" s="120">
        <f>+F63+F50+F37+F24</f>
        <v>142.85034999999999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22109</v>
      </c>
      <c r="E66" s="121" t="s">
        <v>19</v>
      </c>
      <c r="F66" s="33">
        <f>D66*0.0003</f>
        <v>6.6326999999999998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22109</v>
      </c>
      <c r="E67" s="95" t="s">
        <v>78</v>
      </c>
      <c r="F67" s="33">
        <f>D67*0.0003</f>
        <v>6.6326999999999998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22109</v>
      </c>
      <c r="E68" s="106"/>
      <c r="F68" s="34">
        <f>SUM(F66:F67)</f>
        <v>13.2654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77385</v>
      </c>
      <c r="E69" s="204" t="s">
        <v>17</v>
      </c>
      <c r="F69" s="63">
        <v>116.08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66203</v>
      </c>
      <c r="E70" s="205"/>
      <c r="F70" s="56">
        <v>99.3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64921</v>
      </c>
      <c r="E71" s="205"/>
      <c r="F71" s="56">
        <v>97.38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63634</v>
      </c>
      <c r="E72" s="205"/>
      <c r="F72" s="56">
        <v>95.45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63908</v>
      </c>
      <c r="E73" s="206"/>
      <c r="F73" s="56">
        <v>95.86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336051</v>
      </c>
      <c r="E74" s="95"/>
      <c r="F74" s="54">
        <f>F69+F70+F71+F72+F73</f>
        <v>504.07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54147</v>
      </c>
      <c r="E75" s="204" t="s">
        <v>17</v>
      </c>
      <c r="F75" s="56">
        <v>135.38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52061</v>
      </c>
      <c r="E76" s="205"/>
      <c r="F76" s="56">
        <v>130.15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46824</v>
      </c>
      <c r="E77" s="206"/>
      <c r="F77" s="56">
        <v>117.253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153032</v>
      </c>
      <c r="E78" s="95"/>
      <c r="F78" s="36">
        <f>F75+F76+F77</f>
        <v>382.78299999999996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126</v>
      </c>
      <c r="E79" s="95" t="s">
        <v>19</v>
      </c>
      <c r="F79" s="33">
        <v>0.214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116</v>
      </c>
      <c r="E80" s="95" t="s">
        <v>19</v>
      </c>
      <c r="F80" s="33">
        <v>0.193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242</v>
      </c>
      <c r="E81" s="106"/>
      <c r="F81" s="161">
        <f>F80+F79</f>
        <v>0.40700000000000003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489325</v>
      </c>
      <c r="E82" s="106"/>
      <c r="F82" s="120">
        <f>F81+F78+F74</f>
        <v>887.26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489083</v>
      </c>
      <c r="E85" s="172"/>
      <c r="F85" s="33">
        <v>122.27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11121</v>
      </c>
      <c r="E86" s="172"/>
      <c r="F86" s="33">
        <v>1.67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2517</v>
      </c>
      <c r="E87" s="172"/>
      <c r="F87" s="33">
        <v>0.38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2568</v>
      </c>
      <c r="E88" s="172"/>
      <c r="F88" s="33">
        <v>18.87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703</v>
      </c>
      <c r="E89" s="173"/>
      <c r="F89" s="33">
        <v>7.03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505992</v>
      </c>
      <c r="E90" s="106"/>
      <c r="F90" s="34">
        <f>SUM(F84:F89)</f>
        <v>150.22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71672</v>
      </c>
      <c r="E91" s="193" t="s">
        <v>35</v>
      </c>
      <c r="F91" s="117">
        <v>286.68799999999999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22642</v>
      </c>
      <c r="E92" s="193"/>
      <c r="F92" s="117">
        <v>90.567999999999998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5169</v>
      </c>
      <c r="E93" s="193"/>
      <c r="F93" s="117">
        <v>20.676000000000002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87639</v>
      </c>
      <c r="E94" s="193"/>
      <c r="F94" s="117">
        <v>350.55599999999998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187122</v>
      </c>
      <c r="E95" s="106"/>
      <c r="F95" s="34">
        <f>SUM(F91:F94)</f>
        <v>748.48799999999994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1814</v>
      </c>
      <c r="E99" s="174" t="s">
        <v>19</v>
      </c>
      <c r="F99" s="33">
        <v>90.7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703</v>
      </c>
      <c r="E100" s="174"/>
      <c r="F100" s="33">
        <v>49.210000000000008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2517</v>
      </c>
      <c r="E101" s="106"/>
      <c r="F101" s="34">
        <f>SUM(F99:F100)</f>
        <v>139.91000000000003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2517</v>
      </c>
      <c r="E102" s="95" t="s">
        <v>19</v>
      </c>
      <c r="F102" s="33">
        <v>11.28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2517</v>
      </c>
      <c r="E103" s="106"/>
      <c r="F103" s="34">
        <f>F102</f>
        <v>11.28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55">
        <v>4.5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60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18.5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2409</v>
      </c>
      <c r="E112" s="95" t="s">
        <v>19</v>
      </c>
      <c r="F112" s="135">
        <v>2.41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2517</v>
      </c>
      <c r="E113" s="95" t="s">
        <v>21</v>
      </c>
      <c r="F113" s="135">
        <v>3.77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14</v>
      </c>
      <c r="E114" s="95" t="s">
        <v>21</v>
      </c>
      <c r="F114" s="135">
        <v>25.2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4942</v>
      </c>
      <c r="E116" s="106"/>
      <c r="F116" s="34">
        <f>SUM(F112:F115)</f>
        <v>32.629999999999995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152</v>
      </c>
      <c r="E119" s="95" t="s">
        <v>19</v>
      </c>
      <c r="F119" s="135">
        <v>11.77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154</v>
      </c>
      <c r="E120" s="106"/>
      <c r="F120" s="54">
        <f>SUM(F118:F119)</f>
        <v>14.77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14</v>
      </c>
      <c r="E121" s="95" t="s">
        <v>19</v>
      </c>
      <c r="F121" s="135">
        <v>7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14</v>
      </c>
      <c r="E122" s="95" t="s">
        <v>19</v>
      </c>
      <c r="F122" s="135">
        <v>4.2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14</v>
      </c>
      <c r="E123" s="106"/>
      <c r="F123" s="54">
        <f>SUM(F121:F122)</f>
        <v>11.2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137</v>
      </c>
      <c r="E124" s="95" t="s">
        <v>19</v>
      </c>
      <c r="F124" s="135">
        <v>13.700000000000001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137</v>
      </c>
      <c r="E125" s="95" t="s">
        <v>19</v>
      </c>
      <c r="F125" s="135">
        <v>16.439999999999998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137</v>
      </c>
      <c r="E126" s="106"/>
      <c r="F126" s="54">
        <f>SUM(F124:F125)</f>
        <v>30.14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645</v>
      </c>
      <c r="E133" s="95" t="s">
        <v>21</v>
      </c>
      <c r="F133" s="135">
        <v>19.350000000000001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645</v>
      </c>
      <c r="E134" s="106"/>
      <c r="F134" s="54">
        <f>F133+F132</f>
        <v>19.350000000000001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6</v>
      </c>
      <c r="E136" s="95" t="s">
        <v>19</v>
      </c>
      <c r="F136" s="135">
        <v>4.5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14</v>
      </c>
      <c r="E137" s="95" t="s">
        <v>19</v>
      </c>
      <c r="F137" s="135">
        <v>269.5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14</v>
      </c>
      <c r="E138" s="95" t="s">
        <v>19</v>
      </c>
      <c r="F138" s="135">
        <v>14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34</v>
      </c>
      <c r="E139" s="106"/>
      <c r="F139" s="54">
        <f>SUM(F136:F138)</f>
        <v>288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1217673</v>
      </c>
      <c r="E140" s="146"/>
      <c r="F140" s="148">
        <f>F10+F64+F68+F82+F90+F95+F98+F101+F103+F110+F116+F120+F123+F126+F130+F134+F139</f>
        <v>2507.8637499999995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P80:R80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verticalDpi="300" r:id="rId1"/>
  <rowBreaks count="2" manualBreakCount="2">
    <brk id="38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tabSelected="1" view="pageBreakPreview" zoomScale="85" zoomScaleSheetLayoutView="85" workbookViewId="0">
      <pane xSplit="2" ySplit="5" topLeftCell="D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167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>
        <v>100</v>
      </c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>
        <v>100</v>
      </c>
      <c r="E8" s="95" t="s">
        <v>19</v>
      </c>
      <c r="F8" s="33">
        <v>1925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>
        <v>100</v>
      </c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100</v>
      </c>
      <c r="E10" s="106"/>
      <c r="F10" s="34">
        <f>SUM(F7:F9)</f>
        <v>1925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634</v>
      </c>
      <c r="E17" s="95" t="s">
        <v>19</v>
      </c>
      <c r="F17" s="114">
        <f>634*775/100000</f>
        <v>4.9135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634</v>
      </c>
      <c r="E18" s="95" t="s">
        <v>19</v>
      </c>
      <c r="F18" s="33">
        <f>634*11220/100000</f>
        <v>71.134799999999998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634</v>
      </c>
      <c r="E19" s="95" t="s">
        <v>19</v>
      </c>
      <c r="F19" s="33">
        <f>634*500/100000</f>
        <v>3.17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634</v>
      </c>
      <c r="E24" s="95"/>
      <c r="F24" s="34">
        <f>SUM(F13:F23)</f>
        <v>79.218299999999999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750</v>
      </c>
      <c r="E34" s="95" t="s">
        <v>19</v>
      </c>
      <c r="F34" s="114">
        <v>4.3099999999999996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750</v>
      </c>
      <c r="E35" s="95" t="s">
        <v>19</v>
      </c>
      <c r="F35" s="33">
        <v>56.1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750</v>
      </c>
      <c r="E36" s="95" t="s">
        <v>19</v>
      </c>
      <c r="F36" s="33">
        <v>3.75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750</v>
      </c>
      <c r="E37" s="95"/>
      <c r="F37" s="34">
        <f>SUM(F26:F36)</f>
        <v>64.16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0</v>
      </c>
      <c r="E43" s="95" t="s">
        <v>19</v>
      </c>
      <c r="F43" s="11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0</v>
      </c>
      <c r="E45" s="95" t="s">
        <v>19</v>
      </c>
      <c r="F45" s="11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3650</v>
      </c>
      <c r="E47" s="95" t="s">
        <v>19</v>
      </c>
      <c r="F47" s="117">
        <v>2.44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3650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3650</v>
      </c>
      <c r="E49" s="95" t="s">
        <v>19</v>
      </c>
      <c r="F49" s="34">
        <v>18.25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3650</v>
      </c>
      <c r="E50" s="95"/>
      <c r="F50" s="34">
        <f>SUM(F39:F49)</f>
        <v>20.69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5034</v>
      </c>
      <c r="E64" s="106"/>
      <c r="F64" s="120">
        <f>+F63+F50+F37+F24</f>
        <v>164.06829999999999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16226</v>
      </c>
      <c r="E66" s="121" t="s">
        <v>19</v>
      </c>
      <c r="F66" s="33">
        <f>D66*0.0003</f>
        <v>4.8677999999999999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16226</v>
      </c>
      <c r="E67" s="95" t="s">
        <v>78</v>
      </c>
      <c r="F67" s="33">
        <f>D67*0.0003</f>
        <v>4.8677999999999999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16226</v>
      </c>
      <c r="E68" s="106"/>
      <c r="F68" s="34">
        <f>SUM(F66:F67)</f>
        <v>9.7355999999999998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30" customHeight="1">
      <c r="A69" s="171">
        <v>4</v>
      </c>
      <c r="B69" s="171" t="s">
        <v>154</v>
      </c>
      <c r="C69" s="95" t="s">
        <v>146</v>
      </c>
      <c r="D69" s="65">
        <v>63724</v>
      </c>
      <c r="E69" s="204" t="s">
        <v>17</v>
      </c>
      <c r="F69" s="63">
        <v>95.58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61071</v>
      </c>
      <c r="E70" s="205"/>
      <c r="F70" s="56">
        <v>91.61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59415</v>
      </c>
      <c r="E71" s="205"/>
      <c r="F71" s="56">
        <v>89.12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55517</v>
      </c>
      <c r="E72" s="205"/>
      <c r="F72" s="56">
        <v>83.28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51388</v>
      </c>
      <c r="E73" s="206"/>
      <c r="F73" s="56">
        <v>77.08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291115</v>
      </c>
      <c r="E74" s="95"/>
      <c r="F74" s="54">
        <f>F69+F70+F71+F72+F73</f>
        <v>436.67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38419</v>
      </c>
      <c r="E75" s="204" t="s">
        <v>17</v>
      </c>
      <c r="F75" s="54">
        <v>96.05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.75" customHeight="1">
      <c r="A76" s="174"/>
      <c r="B76" s="174"/>
      <c r="C76" s="95" t="s">
        <v>152</v>
      </c>
      <c r="D76" s="65">
        <v>37150</v>
      </c>
      <c r="E76" s="205"/>
      <c r="F76" s="54">
        <v>92.87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29541</v>
      </c>
      <c r="E77" s="206"/>
      <c r="F77" s="55">
        <v>74.010000000000005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105110</v>
      </c>
      <c r="E78" s="95"/>
      <c r="F78" s="36">
        <f>F75+F76+F77</f>
        <v>262.93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113</v>
      </c>
      <c r="E79" s="95" t="s">
        <v>19</v>
      </c>
      <c r="F79" s="33">
        <v>0.17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50</v>
      </c>
      <c r="E80" s="95" t="s">
        <v>19</v>
      </c>
      <c r="F80" s="33">
        <v>0.08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163</v>
      </c>
      <c r="E81" s="106"/>
      <c r="F81" s="120">
        <f>F80+F79</f>
        <v>0.25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396388</v>
      </c>
      <c r="E82" s="106"/>
      <c r="F82" s="120">
        <f>F81+F78+F74</f>
        <v>699.85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396225</v>
      </c>
      <c r="E85" s="172"/>
      <c r="F85" s="33">
        <v>99.05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8207</v>
      </c>
      <c r="E86" s="172"/>
      <c r="F86" s="33">
        <v>1.23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2568</v>
      </c>
      <c r="E87" s="172"/>
      <c r="F87" s="33">
        <v>0.39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2568</v>
      </c>
      <c r="E88" s="172"/>
      <c r="F88" s="33">
        <v>19.260000000000002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856</v>
      </c>
      <c r="E89" s="173"/>
      <c r="F89" s="33">
        <v>8.56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410424</v>
      </c>
      <c r="E90" s="106"/>
      <c r="F90" s="34">
        <f>SUM(F84:F89)</f>
        <v>128.49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62541</v>
      </c>
      <c r="E91" s="193" t="s">
        <v>35</v>
      </c>
      <c r="F91" s="117">
        <v>250.16400000000002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22904</v>
      </c>
      <c r="E92" s="193"/>
      <c r="F92" s="117">
        <v>91.616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7699</v>
      </c>
      <c r="E93" s="193"/>
      <c r="F93" s="117">
        <v>30.795999999999999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70456</v>
      </c>
      <c r="E94" s="193"/>
      <c r="F94" s="117">
        <v>281.82400000000001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163600</v>
      </c>
      <c r="E95" s="106"/>
      <c r="F95" s="34">
        <f>SUM(F91:F94)</f>
        <v>654.40000000000009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1712</v>
      </c>
      <c r="E99" s="174" t="s">
        <v>19</v>
      </c>
      <c r="F99" s="33">
        <v>85.600000000000009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856</v>
      </c>
      <c r="E100" s="174"/>
      <c r="F100" s="33">
        <v>59.920000000000009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2568</v>
      </c>
      <c r="E101" s="106"/>
      <c r="F101" s="34">
        <f>SUM(F99:F100)</f>
        <v>145.52000000000001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2568</v>
      </c>
      <c r="E102" s="95" t="s">
        <v>19</v>
      </c>
      <c r="F102" s="33">
        <v>11.51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2568</v>
      </c>
      <c r="E103" s="106"/>
      <c r="F103" s="34">
        <f>F102</f>
        <v>11.51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2000</v>
      </c>
      <c r="E112" s="95" t="s">
        <v>19</v>
      </c>
      <c r="F112" s="135">
        <v>2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2568</v>
      </c>
      <c r="E113" s="95" t="s">
        <v>21</v>
      </c>
      <c r="F113" s="135">
        <v>3.85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10</v>
      </c>
      <c r="E114" s="95" t="s">
        <v>21</v>
      </c>
      <c r="F114" s="135">
        <v>18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4580</v>
      </c>
      <c r="E116" s="106"/>
      <c r="F116" s="34">
        <f>SUM(F112:F115)</f>
        <v>25.1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154</v>
      </c>
      <c r="E119" s="95" t="s">
        <v>19</v>
      </c>
      <c r="F119" s="135">
        <v>11.08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156</v>
      </c>
      <c r="E120" s="106"/>
      <c r="F120" s="54">
        <f>SUM(F118:F119)</f>
        <v>14.08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10</v>
      </c>
      <c r="E121" s="95" t="s">
        <v>19</v>
      </c>
      <c r="F121" s="135">
        <v>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10</v>
      </c>
      <c r="E122" s="95" t="s">
        <v>19</v>
      </c>
      <c r="F122" s="135">
        <v>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10</v>
      </c>
      <c r="E123" s="106"/>
      <c r="F123" s="54">
        <f>SUM(F121:F122)</f>
        <v>8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143</v>
      </c>
      <c r="E124" s="95" t="s">
        <v>19</v>
      </c>
      <c r="F124" s="135">
        <v>14.3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143</v>
      </c>
      <c r="E125" s="95" t="s">
        <v>19</v>
      </c>
      <c r="F125" s="135">
        <v>17.16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143</v>
      </c>
      <c r="E126" s="106"/>
      <c r="F126" s="54">
        <f>SUM(F124:F125)</f>
        <v>31.46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150</v>
      </c>
      <c r="E133" s="95" t="s">
        <v>21</v>
      </c>
      <c r="F133" s="135">
        <v>4.5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150</v>
      </c>
      <c r="E134" s="106"/>
      <c r="F134" s="54">
        <f>F133+F132</f>
        <v>4.5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3</v>
      </c>
      <c r="E136" s="95" t="s">
        <v>19</v>
      </c>
      <c r="F136" s="135">
        <v>16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10</v>
      </c>
      <c r="E137" s="95" t="s">
        <v>19</v>
      </c>
      <c r="F137" s="135">
        <v>192.5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10</v>
      </c>
      <c r="E138" s="95" t="s">
        <v>19</v>
      </c>
      <c r="F138" s="135">
        <v>10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23</v>
      </c>
      <c r="E139" s="106"/>
      <c r="F139" s="54">
        <f>SUM(F136:F138)</f>
        <v>218.5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1001971</v>
      </c>
      <c r="E140" s="146"/>
      <c r="F140" s="148">
        <f>F10+F64+F68+F82+F90+F95+F98+F101+F103+F110+F116+F120+F123+F126+F130+F134+F139</f>
        <v>4054.7139000000002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P80:R80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23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168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630</v>
      </c>
      <c r="E17" s="95" t="s">
        <v>19</v>
      </c>
      <c r="F17" s="114">
        <f>630*775/100000</f>
        <v>4.8825000000000003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630</v>
      </c>
      <c r="E18" s="95" t="s">
        <v>19</v>
      </c>
      <c r="F18" s="33">
        <f>630*11220/100000</f>
        <v>70.686000000000007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630</v>
      </c>
      <c r="E19" s="95" t="s">
        <v>19</v>
      </c>
      <c r="F19" s="33">
        <f>630*500/100000</f>
        <v>3.15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630</v>
      </c>
      <c r="E24" s="95"/>
      <c r="F24" s="34">
        <f>SUM(F13:F23)</f>
        <v>78.718500000000006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650</v>
      </c>
      <c r="E30" s="95" t="s">
        <v>19</v>
      </c>
      <c r="F30" s="114">
        <f>650*775/100000</f>
        <v>5.0374999999999996</v>
      </c>
      <c r="G30" s="106"/>
      <c r="H30" s="106"/>
      <c r="I30" s="106"/>
      <c r="J30" s="106"/>
      <c r="K30" s="106"/>
      <c r="L30" s="106"/>
      <c r="M30" s="115" t="s">
        <v>97</v>
      </c>
      <c r="N30" s="115" t="s">
        <v>97</v>
      </c>
      <c r="O30" s="115" t="s">
        <v>97</v>
      </c>
      <c r="P30" s="115" t="s">
        <v>97</v>
      </c>
      <c r="Q30" s="115" t="s">
        <v>97</v>
      </c>
      <c r="R30" s="115" t="s">
        <v>97</v>
      </c>
    </row>
    <row r="31" spans="1:18" ht="29.25" customHeight="1">
      <c r="A31" s="190"/>
      <c r="B31" s="111" t="s">
        <v>76</v>
      </c>
      <c r="C31" s="111" t="s">
        <v>42</v>
      </c>
      <c r="D31" s="65">
        <v>650</v>
      </c>
      <c r="E31" s="95" t="s">
        <v>19</v>
      </c>
      <c r="F31" s="114">
        <f>650*11220/100000</f>
        <v>72.930000000000007</v>
      </c>
      <c r="G31" s="106"/>
      <c r="H31" s="106"/>
      <c r="I31" s="106"/>
      <c r="J31" s="106"/>
      <c r="K31" s="106"/>
      <c r="L31" s="106"/>
      <c r="M31" s="115" t="s">
        <v>97</v>
      </c>
      <c r="N31" s="115" t="s">
        <v>97</v>
      </c>
      <c r="O31" s="115" t="s">
        <v>97</v>
      </c>
      <c r="P31" s="115" t="s">
        <v>97</v>
      </c>
      <c r="Q31" s="115" t="s">
        <v>97</v>
      </c>
      <c r="R31" s="115" t="s">
        <v>97</v>
      </c>
    </row>
    <row r="32" spans="1:18" ht="25.5" customHeight="1">
      <c r="A32" s="191"/>
      <c r="B32" s="111" t="s">
        <v>96</v>
      </c>
      <c r="C32" s="111" t="s">
        <v>42</v>
      </c>
      <c r="D32" s="65">
        <v>650</v>
      </c>
      <c r="E32" s="95" t="s">
        <v>19</v>
      </c>
      <c r="F32" s="114">
        <f>650*500/100000</f>
        <v>3.25</v>
      </c>
      <c r="G32" s="106"/>
      <c r="H32" s="106"/>
      <c r="I32" s="106"/>
      <c r="J32" s="106"/>
      <c r="K32" s="106"/>
      <c r="L32" s="106"/>
      <c r="M32" s="115" t="s">
        <v>97</v>
      </c>
      <c r="N32" s="115" t="s">
        <v>97</v>
      </c>
      <c r="O32" s="115" t="s">
        <v>97</v>
      </c>
      <c r="P32" s="115" t="s">
        <v>97</v>
      </c>
      <c r="Q32" s="115" t="s">
        <v>97</v>
      </c>
      <c r="R32" s="115" t="s">
        <v>97</v>
      </c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0</v>
      </c>
      <c r="E34" s="95" t="s">
        <v>19</v>
      </c>
      <c r="F34" s="114"/>
      <c r="G34" s="106"/>
      <c r="H34" s="106"/>
      <c r="I34" s="106"/>
      <c r="J34" s="106"/>
      <c r="K34" s="106"/>
      <c r="L34" s="106"/>
      <c r="M34" s="115"/>
      <c r="N34" s="115"/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0</v>
      </c>
      <c r="E35" s="95" t="s">
        <v>19</v>
      </c>
      <c r="F35" s="33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65">
        <v>0</v>
      </c>
      <c r="E36" s="95" t="s">
        <v>19</v>
      </c>
      <c r="F36" s="33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650</v>
      </c>
      <c r="E37" s="95"/>
      <c r="F37" s="34">
        <f>SUM(F26:F36)</f>
        <v>81.217500000000001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0</v>
      </c>
      <c r="E43" s="95" t="s">
        <v>19</v>
      </c>
      <c r="F43" s="11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0</v>
      </c>
      <c r="E45" s="95" t="s">
        <v>19</v>
      </c>
      <c r="F45" s="11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605</v>
      </c>
      <c r="E47" s="95" t="s">
        <v>19</v>
      </c>
      <c r="F47" s="117">
        <v>0.4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605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605</v>
      </c>
      <c r="E49" s="95" t="s">
        <v>19</v>
      </c>
      <c r="F49" s="34">
        <v>3.02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605</v>
      </c>
      <c r="E50" s="95"/>
      <c r="F50" s="34">
        <f>SUM(F39:F49)</f>
        <v>3.42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1885</v>
      </c>
      <c r="E64" s="106"/>
      <c r="F64" s="120">
        <f>+F63+F50+F37+F24</f>
        <v>163.35599999999999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10024</v>
      </c>
      <c r="E66" s="121" t="s">
        <v>19</v>
      </c>
      <c r="F66" s="33">
        <f>D66*0.0003</f>
        <v>3.0071999999999997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10024</v>
      </c>
      <c r="E67" s="95" t="s">
        <v>78</v>
      </c>
      <c r="F67" s="33">
        <f>D67*0.0003</f>
        <v>3.0071999999999997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10024</v>
      </c>
      <c r="E68" s="106"/>
      <c r="F68" s="34">
        <f>SUM(F66:F67)</f>
        <v>6.0143999999999993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30486</v>
      </c>
      <c r="E69" s="204" t="s">
        <v>17</v>
      </c>
      <c r="F69" s="63">
        <v>45.73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28227</v>
      </c>
      <c r="E70" s="205"/>
      <c r="F70" s="56">
        <v>42.34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30319</v>
      </c>
      <c r="E71" s="205"/>
      <c r="F71" s="56">
        <v>45.47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31415</v>
      </c>
      <c r="E72" s="205"/>
      <c r="F72" s="56">
        <v>47.12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31532</v>
      </c>
      <c r="E73" s="206"/>
      <c r="F73" s="56">
        <v>47.3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151979</v>
      </c>
      <c r="E74" s="95"/>
      <c r="F74" s="54">
        <f>F69+F70+F71+F72+F73</f>
        <v>227.95999999999998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27062</v>
      </c>
      <c r="E75" s="204" t="s">
        <v>17</v>
      </c>
      <c r="F75" s="54">
        <v>67.650000000000006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23734</v>
      </c>
      <c r="E76" s="205"/>
      <c r="F76" s="54">
        <v>59.34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19522</v>
      </c>
      <c r="E77" s="206"/>
      <c r="F77" s="55">
        <v>48.81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70318</v>
      </c>
      <c r="E78" s="95"/>
      <c r="F78" s="36">
        <f>F75+F76+F77</f>
        <v>175.8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208</v>
      </c>
      <c r="E79" s="95" t="s">
        <v>19</v>
      </c>
      <c r="F79" s="33">
        <v>0.52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204</v>
      </c>
      <c r="E80" s="95" t="s">
        <v>19</v>
      </c>
      <c r="F80" s="33">
        <v>0.51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412</v>
      </c>
      <c r="E81" s="106"/>
      <c r="F81" s="120">
        <f>F80+F79</f>
        <v>1.03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222709</v>
      </c>
      <c r="E82" s="106"/>
      <c r="F82" s="120">
        <f>F81+F78+F74</f>
        <v>404.78999999999996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222297</v>
      </c>
      <c r="E85" s="172"/>
      <c r="F85" s="33">
        <v>55.57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5352</v>
      </c>
      <c r="E86" s="172"/>
      <c r="F86" s="33">
        <v>0.8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1258</v>
      </c>
      <c r="E87" s="172"/>
      <c r="F87" s="33">
        <v>0.19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1258</v>
      </c>
      <c r="E88" s="172"/>
      <c r="F88" s="33">
        <v>9.44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352</v>
      </c>
      <c r="E89" s="173"/>
      <c r="F89" s="33">
        <v>3.52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230517</v>
      </c>
      <c r="E90" s="106"/>
      <c r="F90" s="34">
        <f>SUM(F84:F89)</f>
        <v>69.52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28309</v>
      </c>
      <c r="E91" s="193" t="s">
        <v>35</v>
      </c>
      <c r="F91" s="117">
        <v>113.236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15618</v>
      </c>
      <c r="E92" s="193"/>
      <c r="F92" s="117">
        <v>62.472000000000001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199</v>
      </c>
      <c r="E93" s="193"/>
      <c r="F93" s="117">
        <v>0.79600000000000004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38520</v>
      </c>
      <c r="E94" s="193"/>
      <c r="F94" s="117">
        <v>154.08000000000001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82646</v>
      </c>
      <c r="E95" s="106"/>
      <c r="F95" s="34">
        <f>SUM(F91:F94)</f>
        <v>330.584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906</v>
      </c>
      <c r="E99" s="174" t="s">
        <v>19</v>
      </c>
      <c r="F99" s="33">
        <v>45.300000000000004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352</v>
      </c>
      <c r="E100" s="174"/>
      <c r="F100" s="33">
        <v>24.64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1258</v>
      </c>
      <c r="E101" s="106"/>
      <c r="F101" s="34">
        <f>SUM(F99:F100)</f>
        <v>69.94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1258</v>
      </c>
      <c r="E102" s="95" t="s">
        <v>19</v>
      </c>
      <c r="F102" s="33">
        <v>5.64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1258</v>
      </c>
      <c r="E103" s="106"/>
      <c r="F103" s="34">
        <f>F102</f>
        <v>5.64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55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60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908</v>
      </c>
      <c r="E112" s="95" t="s">
        <v>19</v>
      </c>
      <c r="F112" s="135">
        <v>0.91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1258</v>
      </c>
      <c r="E113" s="95" t="s">
        <v>21</v>
      </c>
      <c r="F113" s="135">
        <v>1.88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7</v>
      </c>
      <c r="E114" s="95" t="s">
        <v>21</v>
      </c>
      <c r="F114" s="135">
        <v>12.6</v>
      </c>
      <c r="G114" s="98"/>
      <c r="H114" s="98"/>
      <c r="I114" s="98"/>
      <c r="J114" s="98"/>
      <c r="K114" s="98"/>
      <c r="L114" s="99" t="s">
        <v>97</v>
      </c>
      <c r="M114" s="99" t="s">
        <v>97</v>
      </c>
      <c r="N114" s="99" t="s">
        <v>97</v>
      </c>
      <c r="O114" s="98"/>
      <c r="P114" s="98"/>
      <c r="Q114" s="98"/>
      <c r="R114" s="9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8"/>
      <c r="H115" s="98"/>
      <c r="I115" s="98"/>
      <c r="J115" s="98"/>
      <c r="K115" s="98"/>
      <c r="L115" s="99" t="s">
        <v>97</v>
      </c>
      <c r="M115" s="99" t="s">
        <v>97</v>
      </c>
      <c r="N115" s="99" t="s">
        <v>97</v>
      </c>
      <c r="O115" s="98"/>
      <c r="P115" s="98"/>
      <c r="Q115" s="98"/>
      <c r="R115" s="9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2175</v>
      </c>
      <c r="E116" s="106"/>
      <c r="F116" s="34">
        <f>SUM(F112:F115)</f>
        <v>16.64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78</v>
      </c>
      <c r="E119" s="95" t="s">
        <v>19</v>
      </c>
      <c r="F119" s="135">
        <v>6.1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80</v>
      </c>
      <c r="E120" s="106"/>
      <c r="F120" s="54">
        <f>SUM(F118:F119)</f>
        <v>9.1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7</v>
      </c>
      <c r="E121" s="95" t="s">
        <v>19</v>
      </c>
      <c r="F121" s="135">
        <v>3.5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7</v>
      </c>
      <c r="E122" s="95" t="s">
        <v>19</v>
      </c>
      <c r="F122" s="135">
        <v>2.1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7</v>
      </c>
      <c r="E123" s="106"/>
      <c r="F123" s="54">
        <f>SUM(F121:F122)</f>
        <v>5.6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70</v>
      </c>
      <c r="E124" s="95" t="s">
        <v>19</v>
      </c>
      <c r="F124" s="135">
        <v>7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70</v>
      </c>
      <c r="E125" s="95" t="s">
        <v>19</v>
      </c>
      <c r="F125" s="135">
        <v>8.4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70</v>
      </c>
      <c r="E126" s="106"/>
      <c r="F126" s="54">
        <f>SUM(F124:F125)</f>
        <v>15.4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564</v>
      </c>
      <c r="E133" s="95" t="s">
        <v>21</v>
      </c>
      <c r="F133" s="135">
        <v>16.920000000000002</v>
      </c>
      <c r="G133" s="98"/>
      <c r="H133" s="98"/>
      <c r="I133" s="98"/>
      <c r="J133" s="98"/>
      <c r="K133" s="98"/>
      <c r="L133" s="98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564</v>
      </c>
      <c r="E134" s="106"/>
      <c r="F134" s="54">
        <f>F133+F132</f>
        <v>16.920000000000002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7</v>
      </c>
      <c r="E136" s="95" t="s">
        <v>19</v>
      </c>
      <c r="F136" s="135">
        <v>10.38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7</v>
      </c>
      <c r="E137" s="95" t="s">
        <v>19</v>
      </c>
      <c r="F137" s="135">
        <v>134.75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7</v>
      </c>
      <c r="E138" s="95" t="s">
        <v>19</v>
      </c>
      <c r="F138" s="135">
        <v>7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21</v>
      </c>
      <c r="E139" s="106"/>
      <c r="F139" s="54">
        <f>SUM(F136:F138)</f>
        <v>152.13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553215</v>
      </c>
      <c r="E140" s="146"/>
      <c r="F140" s="148">
        <f>F10+F64+F68+F82+F90+F95+F98+F101+F103+F110+F116+F120+F123+F126+F130+F134+F139</f>
        <v>1280.1344000000004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P80:R80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verticalDpi="300" r:id="rId1"/>
  <rowBreaks count="2" manualBreakCount="2">
    <brk id="38" max="16383" man="1"/>
    <brk id="7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zoomScale="70" zoomScaleNormal="70" zoomScaleSheetLayoutView="100" workbookViewId="0">
      <pane xSplit="2" ySplit="5" topLeftCell="C117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105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500</v>
      </c>
      <c r="E17" s="95" t="s">
        <v>19</v>
      </c>
      <c r="F17" s="114">
        <f>500*775/100000</f>
        <v>3.875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500</v>
      </c>
      <c r="E18" s="95" t="s">
        <v>19</v>
      </c>
      <c r="F18" s="33">
        <f>500*11220/100000</f>
        <v>56.1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500</v>
      </c>
      <c r="E19" s="95" t="s">
        <v>19</v>
      </c>
      <c r="F19" s="33">
        <f>500*500/100000</f>
        <v>2.5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500</v>
      </c>
      <c r="E24" s="95"/>
      <c r="F24" s="34">
        <f>SUM(F13:F23)</f>
        <v>62.475000000000001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220</v>
      </c>
      <c r="E34" s="95" t="s">
        <v>19</v>
      </c>
      <c r="F34" s="114">
        <v>1.26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220</v>
      </c>
      <c r="E35" s="95" t="s">
        <v>19</v>
      </c>
      <c r="F35" s="33">
        <v>16.45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220</v>
      </c>
      <c r="E36" s="95" t="s">
        <v>19</v>
      </c>
      <c r="F36" s="33">
        <v>1.1000000000000001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220</v>
      </c>
      <c r="E37" s="95"/>
      <c r="F37" s="34">
        <f>SUM(F26:F36)</f>
        <v>18.810000000000002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/>
      <c r="E43" s="95" t="s">
        <v>19</v>
      </c>
      <c r="F43" s="11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/>
      <c r="E45" s="95" t="s">
        <v>19</v>
      </c>
      <c r="F45" s="11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0</v>
      </c>
      <c r="E47" s="95" t="s">
        <v>19</v>
      </c>
      <c r="F47" s="34">
        <v>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0</v>
      </c>
      <c r="E49" s="95" t="s">
        <v>19</v>
      </c>
      <c r="F49" s="34">
        <v>0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0</v>
      </c>
      <c r="E50" s="95"/>
      <c r="F50" s="34">
        <f>SUM(F39:F49)</f>
        <v>0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476</v>
      </c>
      <c r="E56" s="95" t="s">
        <v>19</v>
      </c>
      <c r="F56" s="117">
        <v>0.32</v>
      </c>
      <c r="G56" s="99"/>
      <c r="H56" s="99"/>
      <c r="I56" s="99"/>
      <c r="J56" s="99"/>
      <c r="K56" s="99"/>
      <c r="L56" s="99"/>
      <c r="M56" s="115" t="s">
        <v>97</v>
      </c>
      <c r="N56" s="115" t="s">
        <v>97</v>
      </c>
      <c r="O56" s="115" t="s">
        <v>97</v>
      </c>
      <c r="P56" s="115" t="s">
        <v>97</v>
      </c>
      <c r="Q56" s="115" t="s">
        <v>97</v>
      </c>
      <c r="R56" s="115" t="s">
        <v>97</v>
      </c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476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476</v>
      </c>
      <c r="E58" s="95" t="s">
        <v>19</v>
      </c>
      <c r="F58" s="117">
        <v>2.38</v>
      </c>
      <c r="G58" s="99"/>
      <c r="H58" s="99"/>
      <c r="I58" s="99"/>
      <c r="J58" s="99"/>
      <c r="K58" s="99"/>
      <c r="L58" s="99"/>
      <c r="M58" s="115" t="s">
        <v>97</v>
      </c>
      <c r="N58" s="115" t="s">
        <v>97</v>
      </c>
      <c r="O58" s="115" t="s">
        <v>97</v>
      </c>
      <c r="P58" s="115" t="s">
        <v>97</v>
      </c>
      <c r="Q58" s="115" t="s">
        <v>97</v>
      </c>
      <c r="R58" s="115" t="s">
        <v>97</v>
      </c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1049</v>
      </c>
      <c r="E60" s="95" t="s">
        <v>19</v>
      </c>
      <c r="F60" s="117">
        <v>0.7</v>
      </c>
      <c r="G60" s="99"/>
      <c r="H60" s="99"/>
      <c r="I60" s="99"/>
      <c r="J60" s="99"/>
      <c r="K60" s="99"/>
      <c r="L60" s="99"/>
      <c r="M60" s="115" t="s">
        <v>97</v>
      </c>
      <c r="N60" s="115" t="s">
        <v>97</v>
      </c>
      <c r="O60" s="115" t="s">
        <v>97</v>
      </c>
      <c r="P60" s="115" t="s">
        <v>97</v>
      </c>
      <c r="Q60" s="115" t="s">
        <v>97</v>
      </c>
      <c r="R60" s="115" t="s">
        <v>97</v>
      </c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1049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1049</v>
      </c>
      <c r="E62" s="95" t="s">
        <v>19</v>
      </c>
      <c r="F62" s="117">
        <v>5.25</v>
      </c>
      <c r="G62" s="99"/>
      <c r="H62" s="99"/>
      <c r="I62" s="99"/>
      <c r="J62" s="99"/>
      <c r="K62" s="99"/>
      <c r="L62" s="99"/>
      <c r="M62" s="115" t="s">
        <v>97</v>
      </c>
      <c r="N62" s="115" t="s">
        <v>97</v>
      </c>
      <c r="O62" s="115" t="s">
        <v>97</v>
      </c>
      <c r="P62" s="115" t="s">
        <v>97</v>
      </c>
      <c r="Q62" s="115" t="s">
        <v>97</v>
      </c>
      <c r="R62" s="115" t="s">
        <v>97</v>
      </c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1525</v>
      </c>
      <c r="E63" s="95"/>
      <c r="F63" s="34">
        <f>SUM(F52:F62)</f>
        <v>8.6499999999999986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2245</v>
      </c>
      <c r="E64" s="106"/>
      <c r="F64" s="120">
        <f>+F63+F50+F37+F24</f>
        <v>89.935000000000002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12074</v>
      </c>
      <c r="E66" s="121" t="s">
        <v>19</v>
      </c>
      <c r="F66" s="33">
        <f>D66*0.0003</f>
        <v>3.6221999999999999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12074</v>
      </c>
      <c r="E67" s="95" t="s">
        <v>78</v>
      </c>
      <c r="F67" s="33">
        <f>D67*0.0003</f>
        <v>3.6221999999999999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12074</v>
      </c>
      <c r="E68" s="106"/>
      <c r="F68" s="34">
        <f>SUM(F66:F67)</f>
        <v>7.2443999999999997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45357</v>
      </c>
      <c r="E69" s="204" t="s">
        <v>17</v>
      </c>
      <c r="F69" s="63">
        <v>68.040000000000006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44896</v>
      </c>
      <c r="E70" s="205"/>
      <c r="F70" s="56">
        <v>67.34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48535</v>
      </c>
      <c r="E71" s="205"/>
      <c r="F71" s="56">
        <v>72.8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46675</v>
      </c>
      <c r="E72" s="205"/>
      <c r="F72" s="56">
        <v>70.010000000000005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43158</v>
      </c>
      <c r="E73" s="206"/>
      <c r="F73" s="56">
        <v>64.739999999999995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228621</v>
      </c>
      <c r="E74" s="95"/>
      <c r="F74" s="54">
        <f>F69+F70+F71+F72+F73</f>
        <v>342.93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38135</v>
      </c>
      <c r="E75" s="204" t="s">
        <v>17</v>
      </c>
      <c r="F75" s="54">
        <v>95.33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35617</v>
      </c>
      <c r="E76" s="205"/>
      <c r="F76" s="54">
        <v>89.05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29712</v>
      </c>
      <c r="E77" s="206"/>
      <c r="F77" s="55">
        <v>74.39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103464</v>
      </c>
      <c r="E78" s="95"/>
      <c r="F78" s="36">
        <f>F75+F76+F77</f>
        <v>258.77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144</v>
      </c>
      <c r="E79" s="95" t="s">
        <v>19</v>
      </c>
      <c r="F79" s="33">
        <v>0.25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144</v>
      </c>
      <c r="E81" s="106"/>
      <c r="F81" s="120">
        <f>F80+F79</f>
        <v>0.25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332229</v>
      </c>
      <c r="E82" s="106"/>
      <c r="F82" s="120">
        <f>F81+F78+F74</f>
        <v>601.95000000000005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332085</v>
      </c>
      <c r="E85" s="172"/>
      <c r="F85" s="33">
        <v>83.02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6317</v>
      </c>
      <c r="E86" s="172"/>
      <c r="F86" s="33">
        <v>0.95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1811</v>
      </c>
      <c r="E87" s="172"/>
      <c r="F87" s="33">
        <v>0.27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1811</v>
      </c>
      <c r="E88" s="172"/>
      <c r="F88" s="33">
        <v>13.58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601</v>
      </c>
      <c r="E89" s="173"/>
      <c r="F89" s="33">
        <v>6.01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342625</v>
      </c>
      <c r="E90" s="106"/>
      <c r="F90" s="34">
        <f>SUM(F84:F89)</f>
        <v>103.83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38753</v>
      </c>
      <c r="E91" s="193" t="s">
        <v>35</v>
      </c>
      <c r="F91" s="117">
        <v>155.012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27894</v>
      </c>
      <c r="E92" s="193"/>
      <c r="F92" s="117">
        <v>111.57600000000001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4161</v>
      </c>
      <c r="E93" s="193"/>
      <c r="F93" s="117">
        <v>16.644000000000002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55506</v>
      </c>
      <c r="E94" s="193"/>
      <c r="F94" s="117">
        <v>222.024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126314</v>
      </c>
      <c r="E95" s="106"/>
      <c r="F95" s="34">
        <f>SUM(F91:F94)</f>
        <v>505.25600000000003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1210</v>
      </c>
      <c r="E99" s="174" t="s">
        <v>19</v>
      </c>
      <c r="F99" s="33">
        <v>60.5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601</v>
      </c>
      <c r="E100" s="174"/>
      <c r="F100" s="33">
        <v>42.070000000000007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1811</v>
      </c>
      <c r="E101" s="106"/>
      <c r="F101" s="34">
        <f>SUM(F99:F100)</f>
        <v>102.57000000000001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1811</v>
      </c>
      <c r="E102" s="95" t="s">
        <v>19</v>
      </c>
      <c r="F102" s="33">
        <v>8.1158907078071358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1811</v>
      </c>
      <c r="E103" s="106"/>
      <c r="F103" s="34">
        <f>F102</f>
        <v>8.1158907078071358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4.5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18.5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1372</v>
      </c>
      <c r="E112" s="95" t="s">
        <v>19</v>
      </c>
      <c r="F112" s="135">
        <v>1.37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1811</v>
      </c>
      <c r="E113" s="95" t="s">
        <v>21</v>
      </c>
      <c r="F113" s="135">
        <v>2.71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11</v>
      </c>
      <c r="E114" s="95" t="s">
        <v>21</v>
      </c>
      <c r="F114" s="135">
        <v>19.8</v>
      </c>
      <c r="G114" s="98"/>
      <c r="H114" s="98"/>
      <c r="I114" s="98"/>
      <c r="J114" s="98"/>
      <c r="K114" s="99" t="s">
        <v>97</v>
      </c>
      <c r="L114" s="99" t="s">
        <v>97</v>
      </c>
      <c r="M114" s="99" t="s">
        <v>97</v>
      </c>
      <c r="N114" s="98"/>
      <c r="O114" s="98"/>
      <c r="P114" s="98"/>
      <c r="Q114" s="98"/>
      <c r="R114" s="9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8"/>
      <c r="H115" s="98"/>
      <c r="I115" s="98"/>
      <c r="J115" s="98"/>
      <c r="K115" s="99" t="s">
        <v>97</v>
      </c>
      <c r="L115" s="99" t="s">
        <v>97</v>
      </c>
      <c r="M115" s="99" t="s">
        <v>97</v>
      </c>
      <c r="N115" s="98"/>
      <c r="O115" s="98"/>
      <c r="P115" s="98"/>
      <c r="Q115" s="98"/>
      <c r="R115" s="9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3196</v>
      </c>
      <c r="E116" s="106"/>
      <c r="F116" s="34">
        <f>SUM(F112:F115)</f>
        <v>25.130000000000003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78</v>
      </c>
      <c r="E119" s="95" t="s">
        <v>19</v>
      </c>
      <c r="F119" s="135">
        <v>6.1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80</v>
      </c>
      <c r="E120" s="106"/>
      <c r="F120" s="54">
        <f>SUM(F118:F119)</f>
        <v>9.1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11</v>
      </c>
      <c r="E121" s="95" t="s">
        <v>19</v>
      </c>
      <c r="F121" s="135">
        <v>5.5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11</v>
      </c>
      <c r="E122" s="95" t="s">
        <v>19</v>
      </c>
      <c r="F122" s="135">
        <v>3.3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11</v>
      </c>
      <c r="E123" s="106"/>
      <c r="F123" s="54">
        <f>SUM(F121:F122)</f>
        <v>8.8000000000000007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100</v>
      </c>
      <c r="E124" s="95" t="s">
        <v>19</v>
      </c>
      <c r="F124" s="135">
        <v>10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100</v>
      </c>
      <c r="E125" s="95" t="s">
        <v>19</v>
      </c>
      <c r="F125" s="135">
        <v>12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100</v>
      </c>
      <c r="E126" s="106"/>
      <c r="F126" s="54">
        <f>SUM(F124:F125)</f>
        <v>22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355</v>
      </c>
      <c r="E133" s="95" t="s">
        <v>21</v>
      </c>
      <c r="F133" s="135">
        <v>10.65</v>
      </c>
      <c r="G133" s="98"/>
      <c r="H133" s="98"/>
      <c r="I133" s="98"/>
      <c r="J133" s="98"/>
      <c r="K133" s="98"/>
      <c r="L133" s="98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355</v>
      </c>
      <c r="E134" s="106"/>
      <c r="F134" s="54">
        <f>F133+F132</f>
        <v>10.65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11</v>
      </c>
      <c r="E136" s="95" t="s">
        <v>19</v>
      </c>
      <c r="F136" s="135">
        <v>28.55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11</v>
      </c>
      <c r="E137" s="95" t="s">
        <v>19</v>
      </c>
      <c r="F137" s="135">
        <v>211.75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11</v>
      </c>
      <c r="E138" s="95" t="s">
        <v>19</v>
      </c>
      <c r="F138" s="135">
        <v>11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33</v>
      </c>
      <c r="E139" s="106"/>
      <c r="F139" s="54">
        <f>SUM(F136:F138)</f>
        <v>251.3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822885</v>
      </c>
      <c r="E140" s="146"/>
      <c r="F140" s="148">
        <f>F10+F64+F68+F82+F90+F95+F98+F101+F103+F110+F116+F120+F123+F126+F130+F134+F139</f>
        <v>1764.3812907078072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120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2.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" customHeight="1">
      <c r="A2" s="197" t="s">
        <v>169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 ht="4.5" customHeight="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 ht="33" customHeight="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/>
      <c r="E17" s="95" t="s">
        <v>19</v>
      </c>
      <c r="F17" s="114"/>
      <c r="G17" s="106"/>
      <c r="H17" s="106"/>
      <c r="I17" s="106"/>
      <c r="J17" s="106"/>
      <c r="K17" s="106"/>
      <c r="L17" s="106"/>
      <c r="M17" s="99"/>
      <c r="N17" s="99"/>
      <c r="O17" s="99"/>
      <c r="P17" s="99"/>
      <c r="Q17" s="99"/>
      <c r="R17" s="99"/>
    </row>
    <row r="18" spans="1:18">
      <c r="A18" s="190"/>
      <c r="B18" s="111" t="s">
        <v>76</v>
      </c>
      <c r="C18" s="111" t="s">
        <v>42</v>
      </c>
      <c r="D18" s="65"/>
      <c r="E18" s="95" t="s">
        <v>19</v>
      </c>
      <c r="F18" s="33"/>
      <c r="G18" s="106"/>
      <c r="H18" s="106"/>
      <c r="I18" s="106"/>
      <c r="J18" s="106"/>
      <c r="K18" s="106"/>
      <c r="L18" s="106"/>
      <c r="M18" s="99"/>
      <c r="N18" s="99"/>
      <c r="O18" s="99"/>
      <c r="P18" s="99"/>
      <c r="Q18" s="99"/>
      <c r="R18" s="99"/>
    </row>
    <row r="19" spans="1:18" ht="15" customHeight="1">
      <c r="A19" s="191"/>
      <c r="B19" s="111" t="s">
        <v>96</v>
      </c>
      <c r="C19" s="111" t="s">
        <v>42</v>
      </c>
      <c r="D19" s="65"/>
      <c r="E19" s="95" t="s">
        <v>19</v>
      </c>
      <c r="F19" s="33"/>
      <c r="G19" s="106"/>
      <c r="H19" s="106"/>
      <c r="I19" s="106"/>
      <c r="J19" s="106"/>
      <c r="K19" s="106"/>
      <c r="L19" s="106"/>
      <c r="M19" s="99"/>
      <c r="N19" s="99"/>
      <c r="O19" s="99"/>
      <c r="P19" s="99"/>
      <c r="Q19" s="99"/>
      <c r="R19" s="99"/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542</v>
      </c>
      <c r="E21" s="95" t="s">
        <v>19</v>
      </c>
      <c r="F21" s="114">
        <v>3.11</v>
      </c>
      <c r="G21" s="106"/>
      <c r="H21" s="106"/>
      <c r="I21" s="106"/>
      <c r="J21" s="106"/>
      <c r="K21" s="106"/>
      <c r="L21" s="106"/>
      <c r="M21" s="115" t="s">
        <v>97</v>
      </c>
      <c r="N21" s="115" t="s">
        <v>97</v>
      </c>
      <c r="O21" s="115" t="s">
        <v>97</v>
      </c>
      <c r="P21" s="115" t="s">
        <v>97</v>
      </c>
      <c r="Q21" s="115" t="s">
        <v>97</v>
      </c>
      <c r="R21" s="115" t="s">
        <v>97</v>
      </c>
    </row>
    <row r="22" spans="1:18">
      <c r="A22" s="190"/>
      <c r="B22" s="111" t="s">
        <v>76</v>
      </c>
      <c r="C22" s="111" t="s">
        <v>42</v>
      </c>
      <c r="D22" s="65">
        <v>542</v>
      </c>
      <c r="E22" s="95" t="s">
        <v>19</v>
      </c>
      <c r="F22" s="33">
        <v>40.54</v>
      </c>
      <c r="G22" s="106"/>
      <c r="H22" s="106"/>
      <c r="I22" s="106"/>
      <c r="J22" s="106"/>
      <c r="K22" s="106"/>
      <c r="L22" s="106"/>
      <c r="M22" s="115" t="s">
        <v>97</v>
      </c>
      <c r="N22" s="115" t="s">
        <v>97</v>
      </c>
      <c r="O22" s="115" t="s">
        <v>97</v>
      </c>
      <c r="P22" s="115" t="s">
        <v>97</v>
      </c>
      <c r="Q22" s="115" t="s">
        <v>97</v>
      </c>
      <c r="R22" s="115" t="s">
        <v>97</v>
      </c>
    </row>
    <row r="23" spans="1:18" ht="15" customHeight="1">
      <c r="A23" s="191"/>
      <c r="B23" s="111" t="s">
        <v>96</v>
      </c>
      <c r="C23" s="111" t="s">
        <v>42</v>
      </c>
      <c r="D23" s="65">
        <v>542</v>
      </c>
      <c r="E23" s="95" t="s">
        <v>19</v>
      </c>
      <c r="F23" s="33">
        <v>2.71</v>
      </c>
      <c r="G23" s="106"/>
      <c r="H23" s="106"/>
      <c r="I23" s="106"/>
      <c r="J23" s="106"/>
      <c r="K23" s="106"/>
      <c r="L23" s="106"/>
      <c r="M23" s="115" t="s">
        <v>97</v>
      </c>
      <c r="N23" s="115" t="s">
        <v>97</v>
      </c>
      <c r="O23" s="115" t="s">
        <v>97</v>
      </c>
      <c r="P23" s="115" t="s">
        <v>97</v>
      </c>
      <c r="Q23" s="115" t="s">
        <v>97</v>
      </c>
      <c r="R23" s="115" t="s">
        <v>97</v>
      </c>
    </row>
    <row r="24" spans="1:18">
      <c r="A24" s="185" t="s">
        <v>158</v>
      </c>
      <c r="B24" s="187"/>
      <c r="C24" s="111"/>
      <c r="D24" s="94">
        <f>+D21+D17+D13</f>
        <v>542</v>
      </c>
      <c r="E24" s="95"/>
      <c r="F24" s="34">
        <f>SUM(F13:F23)</f>
        <v>46.36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650</v>
      </c>
      <c r="E34" s="95" t="s">
        <v>19</v>
      </c>
      <c r="F34" s="114">
        <v>3.73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650</v>
      </c>
      <c r="E35" s="95" t="s">
        <v>19</v>
      </c>
      <c r="F35" s="33">
        <v>48.62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650</v>
      </c>
      <c r="E36" s="95" t="s">
        <v>19</v>
      </c>
      <c r="F36" s="33">
        <v>3.25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650</v>
      </c>
      <c r="E37" s="95"/>
      <c r="F37" s="34">
        <f>SUM(F26:F36)</f>
        <v>55.599999999999994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655</v>
      </c>
      <c r="E43" s="95" t="s">
        <v>19</v>
      </c>
      <c r="F43" s="33">
        <v>0.44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655</v>
      </c>
      <c r="E45" s="95" t="s">
        <v>19</v>
      </c>
      <c r="F45" s="117">
        <v>3.27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657</v>
      </c>
      <c r="E47" s="95" t="s">
        <v>19</v>
      </c>
      <c r="F47" s="117">
        <v>0.44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/>
      <c r="E48" s="95" t="s">
        <v>19</v>
      </c>
      <c r="F48" s="117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657</v>
      </c>
      <c r="E49" s="95" t="s">
        <v>19</v>
      </c>
      <c r="F49" s="117">
        <v>3.29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1312</v>
      </c>
      <c r="E50" s="95"/>
      <c r="F50" s="34">
        <f>SUM(F39:F49)</f>
        <v>7.44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 ht="25.5" customHeight="1">
      <c r="A64" s="185" t="s">
        <v>144</v>
      </c>
      <c r="B64" s="187"/>
      <c r="C64" s="106"/>
      <c r="D64" s="94">
        <f>+D63+D50+D37+D24</f>
        <v>2504</v>
      </c>
      <c r="E64" s="106"/>
      <c r="F64" s="120">
        <f>+F63+F50+F37+F24</f>
        <v>109.39999999999999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23927</v>
      </c>
      <c r="E66" s="121" t="s">
        <v>19</v>
      </c>
      <c r="F66" s="33">
        <f>D66*0.0003</f>
        <v>7.1780999999999997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23927</v>
      </c>
      <c r="E67" s="95" t="s">
        <v>78</v>
      </c>
      <c r="F67" s="33">
        <f>D67*0.0003</f>
        <v>7.1780999999999997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23927</v>
      </c>
      <c r="E68" s="106"/>
      <c r="F68" s="34">
        <f>SUM(F66:F67)</f>
        <v>14.356199999999999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28.5" customHeight="1">
      <c r="A69" s="171">
        <v>4</v>
      </c>
      <c r="B69" s="171" t="s">
        <v>154</v>
      </c>
      <c r="C69" s="95" t="s">
        <v>146</v>
      </c>
      <c r="D69" s="65">
        <v>43242</v>
      </c>
      <c r="E69" s="204" t="s">
        <v>17</v>
      </c>
      <c r="F69" s="63">
        <v>64.87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91991</v>
      </c>
      <c r="E70" s="205"/>
      <c r="F70" s="56">
        <v>137.97999999999999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98165</v>
      </c>
      <c r="E71" s="205"/>
      <c r="F71" s="56">
        <v>147.24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94243</v>
      </c>
      <c r="E72" s="205"/>
      <c r="F72" s="56">
        <v>141.36000000000001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89057</v>
      </c>
      <c r="E73" s="206"/>
      <c r="F73" s="56">
        <v>133.59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416698</v>
      </c>
      <c r="E74" s="95"/>
      <c r="F74" s="54">
        <f>F69+F70+F71+F72+F73</f>
        <v>625.04000000000008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104960</v>
      </c>
      <c r="E75" s="204" t="s">
        <v>17</v>
      </c>
      <c r="F75" s="56">
        <v>262.39999999999998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66442</v>
      </c>
      <c r="E76" s="205"/>
      <c r="F76" s="56">
        <v>166.11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51988</v>
      </c>
      <c r="E77" s="206"/>
      <c r="F77" s="56">
        <v>129.97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223390</v>
      </c>
      <c r="E78" s="95"/>
      <c r="F78" s="36">
        <f>F75+F76+F77</f>
        <v>558.48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640088</v>
      </c>
      <c r="E82" s="106"/>
      <c r="F82" s="120">
        <f>F81+F78+F74</f>
        <v>1183.52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640088</v>
      </c>
      <c r="E85" s="172"/>
      <c r="F85" s="33">
        <v>160.02000000000001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12480</v>
      </c>
      <c r="E86" s="172"/>
      <c r="F86" s="33">
        <v>1.87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2993</v>
      </c>
      <c r="E87" s="172"/>
      <c r="F87" s="33">
        <v>0.46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2993</v>
      </c>
      <c r="E88" s="172"/>
      <c r="F88" s="33">
        <v>22.44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899</v>
      </c>
      <c r="E89" s="173"/>
      <c r="F89" s="33">
        <v>8.99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659453</v>
      </c>
      <c r="E90" s="106"/>
      <c r="F90" s="34">
        <f>SUM(F84:F89)</f>
        <v>193.78000000000003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82020</v>
      </c>
      <c r="E91" s="193" t="s">
        <v>35</v>
      </c>
      <c r="F91" s="117">
        <v>328.08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16479</v>
      </c>
      <c r="E92" s="193"/>
      <c r="F92" s="117">
        <v>65.915999999999997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10895</v>
      </c>
      <c r="E93" s="193"/>
      <c r="F93" s="117">
        <v>43.58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107142</v>
      </c>
      <c r="E94" s="193"/>
      <c r="F94" s="117">
        <v>428.56799999999998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216536</v>
      </c>
      <c r="E95" s="106"/>
      <c r="F95" s="34">
        <f>SUM(F91:F94)</f>
        <v>866.14400000000001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2094</v>
      </c>
      <c r="E99" s="174" t="s">
        <v>19</v>
      </c>
      <c r="F99" s="33">
        <v>104.7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899</v>
      </c>
      <c r="E100" s="174"/>
      <c r="F100" s="33">
        <v>62.930000000000007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2993</v>
      </c>
      <c r="E101" s="106"/>
      <c r="F101" s="34">
        <f>SUM(F99:F100)</f>
        <v>167.63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2993</v>
      </c>
      <c r="E102" s="95" t="s">
        <v>19</v>
      </c>
      <c r="F102" s="33">
        <v>13.412954659561986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2993</v>
      </c>
      <c r="E103" s="106"/>
      <c r="F103" s="34">
        <f>F102</f>
        <v>13.412954659561986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2105</v>
      </c>
      <c r="E112" s="95" t="s">
        <v>19</v>
      </c>
      <c r="F112" s="135">
        <v>2.1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2993</v>
      </c>
      <c r="E113" s="95" t="s">
        <v>21</v>
      </c>
      <c r="F113" s="135">
        <v>4.45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16</v>
      </c>
      <c r="E114" s="95" t="s">
        <v>21</v>
      </c>
      <c r="F114" s="135">
        <v>28.8</v>
      </c>
      <c r="G114" s="127"/>
      <c r="H114" s="97"/>
      <c r="I114" s="97"/>
      <c r="J114" s="99" t="s">
        <v>97</v>
      </c>
      <c r="K114" s="99" t="s">
        <v>97</v>
      </c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9" t="s">
        <v>97</v>
      </c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5116</v>
      </c>
      <c r="E116" s="106"/>
      <c r="F116" s="34">
        <f>SUM(F112:F115)</f>
        <v>36.6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178</v>
      </c>
      <c r="E119" s="95" t="s">
        <v>19</v>
      </c>
      <c r="F119" s="135">
        <v>13.61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180</v>
      </c>
      <c r="E120" s="106"/>
      <c r="F120" s="54">
        <f>SUM(F118:F119)</f>
        <v>16.61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16</v>
      </c>
      <c r="E121" s="95" t="s">
        <v>19</v>
      </c>
      <c r="F121" s="135">
        <v>8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16</v>
      </c>
      <c r="E122" s="95" t="s">
        <v>19</v>
      </c>
      <c r="F122" s="135">
        <v>4.8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16</v>
      </c>
      <c r="E123" s="106"/>
      <c r="F123" s="54">
        <f>SUM(F121:F122)</f>
        <v>12.8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161</v>
      </c>
      <c r="E124" s="95" t="s">
        <v>19</v>
      </c>
      <c r="F124" s="135">
        <v>16.100000000000001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161</v>
      </c>
      <c r="E125" s="95" t="s">
        <v>19</v>
      </c>
      <c r="F125" s="135">
        <v>19.32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161</v>
      </c>
      <c r="E126" s="106"/>
      <c r="F126" s="54">
        <f>SUM(F124:F125)</f>
        <v>35.42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1430</v>
      </c>
      <c r="E133" s="95" t="s">
        <v>21</v>
      </c>
      <c r="F133" s="135">
        <v>42.9</v>
      </c>
      <c r="G133" s="143"/>
      <c r="H133" s="144"/>
      <c r="I133" s="144"/>
      <c r="J133" s="144"/>
      <c r="K133" s="144"/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1430</v>
      </c>
      <c r="E134" s="106"/>
      <c r="F134" s="54">
        <f>F133+F132</f>
        <v>42.9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2</v>
      </c>
      <c r="E136" s="95" t="s">
        <v>19</v>
      </c>
      <c r="F136" s="135">
        <v>59.21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16</v>
      </c>
      <c r="E137" s="95" t="s">
        <v>19</v>
      </c>
      <c r="F137" s="135">
        <v>308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16</v>
      </c>
      <c r="E138" s="95" t="s">
        <v>19</v>
      </c>
      <c r="F138" s="135">
        <v>16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34</v>
      </c>
      <c r="E139" s="106"/>
      <c r="F139" s="54">
        <f>SUM(F136:F138)</f>
        <v>383.21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1555432</v>
      </c>
      <c r="E140" s="146"/>
      <c r="F140" s="148">
        <f>F10+F64+F68+F82+F90+F95+F98+F101+F103+F110+F116+F120+F123+F126+F130+F134+F139</f>
        <v>3098.2831546595626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P86:R86"/>
    <mergeCell ref="P87:R87"/>
    <mergeCell ref="P88:R88"/>
    <mergeCell ref="P89:R8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8:A41"/>
    <mergeCell ref="A42:A45"/>
    <mergeCell ref="A46:A49"/>
    <mergeCell ref="A50:B50"/>
    <mergeCell ref="A33:A36"/>
    <mergeCell ref="A37:B37"/>
    <mergeCell ref="A25:A28"/>
    <mergeCell ref="A29:A32"/>
    <mergeCell ref="A10:B10"/>
    <mergeCell ref="A12:A15"/>
    <mergeCell ref="A16:A19"/>
    <mergeCell ref="A20:A23"/>
    <mergeCell ref="A24:B24"/>
    <mergeCell ref="A51:A54"/>
    <mergeCell ref="A55:A58"/>
    <mergeCell ref="A59:A62"/>
    <mergeCell ref="A64:B64"/>
    <mergeCell ref="A68:B68"/>
    <mergeCell ref="A81:B81"/>
    <mergeCell ref="A63:B63"/>
    <mergeCell ref="A82:C82"/>
    <mergeCell ref="E84:E89"/>
    <mergeCell ref="G84:L84"/>
    <mergeCell ref="A69:A73"/>
    <mergeCell ref="B69:B73"/>
    <mergeCell ref="E69:E73"/>
    <mergeCell ref="G69:K7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P69:R69"/>
    <mergeCell ref="P70:R70"/>
    <mergeCell ref="P71:R71"/>
    <mergeCell ref="P72:R72"/>
    <mergeCell ref="P73:R73"/>
    <mergeCell ref="P85:R85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.25" right="0" top="0.5" bottom="0.31496062992126" header="0.27559055118110198" footer="0.15748031496063"/>
  <pageSetup paperSize="9" scale="80" orientation="landscape" r:id="rId1"/>
  <headerFooter alignWithMargins="0">
    <oddHeader>&amp;RPage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120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106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418</v>
      </c>
      <c r="E17" s="95" t="s">
        <v>19</v>
      </c>
      <c r="F17" s="114">
        <f>418*775/100000</f>
        <v>3.2395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418</v>
      </c>
      <c r="E18" s="95" t="s">
        <v>19</v>
      </c>
      <c r="F18" s="33">
        <f>418*11220/100000</f>
        <v>46.8996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418</v>
      </c>
      <c r="E19" s="95" t="s">
        <v>19</v>
      </c>
      <c r="F19" s="33">
        <f>418*500/100000</f>
        <v>2.09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418</v>
      </c>
      <c r="E24" s="95"/>
      <c r="F24" s="34">
        <f>SUM(F13:F23)</f>
        <v>52.229100000000003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234</v>
      </c>
      <c r="E34" s="95" t="s">
        <v>19</v>
      </c>
      <c r="F34" s="114">
        <v>1.34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234</v>
      </c>
      <c r="E35" s="95" t="s">
        <v>19</v>
      </c>
      <c r="F35" s="33">
        <v>17.5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234</v>
      </c>
      <c r="E36" s="95" t="s">
        <v>19</v>
      </c>
      <c r="F36" s="33">
        <v>1.1399999999999999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234</v>
      </c>
      <c r="E37" s="95"/>
      <c r="F37" s="34">
        <f>SUM(F26:F36)</f>
        <v>19.98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1855</v>
      </c>
      <c r="E43" s="95" t="s">
        <v>19</v>
      </c>
      <c r="F43" s="117">
        <v>1.24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1855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1855</v>
      </c>
      <c r="E45" s="95" t="s">
        <v>19</v>
      </c>
      <c r="F45" s="117">
        <v>9.27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0</v>
      </c>
      <c r="E47" s="95" t="s">
        <v>19</v>
      </c>
      <c r="F47" s="34">
        <v>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0</v>
      </c>
      <c r="E49" s="95" t="s">
        <v>19</v>
      </c>
      <c r="F49" s="34">
        <v>0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1855</v>
      </c>
      <c r="E50" s="95"/>
      <c r="F50" s="34">
        <f>SUM(F39:F49)</f>
        <v>10.51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2507</v>
      </c>
      <c r="E64" s="106"/>
      <c r="F64" s="120">
        <f>+F63+F50+F37+F24</f>
        <v>82.719099999999997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13179</v>
      </c>
      <c r="E66" s="121" t="s">
        <v>19</v>
      </c>
      <c r="F66" s="33">
        <f>D66*0.0003</f>
        <v>3.9536999999999995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13179</v>
      </c>
      <c r="E67" s="95" t="s">
        <v>78</v>
      </c>
      <c r="F67" s="33">
        <f>D67*0.0003</f>
        <v>3.9536999999999995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13179</v>
      </c>
      <c r="E68" s="106"/>
      <c r="F68" s="34">
        <f>SUM(F66:F67)</f>
        <v>7.9073999999999991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51976</v>
      </c>
      <c r="E69" s="204" t="s">
        <v>17</v>
      </c>
      <c r="F69" s="63">
        <v>77.959999999999994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50432</v>
      </c>
      <c r="E70" s="205"/>
      <c r="F70" s="56">
        <v>75.650000000000006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53602</v>
      </c>
      <c r="E71" s="205"/>
      <c r="F71" s="56">
        <v>80.400000000000006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49914</v>
      </c>
      <c r="E72" s="205"/>
      <c r="F72" s="56">
        <v>74.87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48869</v>
      </c>
      <c r="E73" s="206"/>
      <c r="F73" s="56">
        <v>73.3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254793</v>
      </c>
      <c r="E74" s="95"/>
      <c r="F74" s="54">
        <f>F69+F70+F71+F72+F73</f>
        <v>382.18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37682</v>
      </c>
      <c r="E75" s="204" t="s">
        <v>17</v>
      </c>
      <c r="F75" s="54">
        <v>94.2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37702</v>
      </c>
      <c r="E76" s="205"/>
      <c r="F76" s="54">
        <v>94.26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28813</v>
      </c>
      <c r="E77" s="206"/>
      <c r="F77" s="55">
        <v>72.41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104197</v>
      </c>
      <c r="E78" s="95"/>
      <c r="F78" s="36">
        <f>F75+F76+F77</f>
        <v>260.87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 customHeight="1">
      <c r="A79" s="122"/>
      <c r="B79" s="123" t="s">
        <v>156</v>
      </c>
      <c r="C79" s="116" t="s">
        <v>37</v>
      </c>
      <c r="D79" s="66">
        <v>324</v>
      </c>
      <c r="E79" s="95" t="s">
        <v>19</v>
      </c>
      <c r="F79" s="33">
        <v>0.61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31.5" customHeight="1">
      <c r="A80" s="95"/>
      <c r="B80" s="116" t="s">
        <v>157</v>
      </c>
      <c r="C80" s="116"/>
      <c r="D80" s="66">
        <v>274</v>
      </c>
      <c r="E80" s="95" t="s">
        <v>19</v>
      </c>
      <c r="F80" s="33">
        <v>0.51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598</v>
      </c>
      <c r="E81" s="106"/>
      <c r="F81" s="120">
        <f>F80+F79</f>
        <v>1.1200000000000001</v>
      </c>
      <c r="G81" s="99"/>
      <c r="H81" s="99"/>
      <c r="I81" s="99"/>
      <c r="J81" s="99"/>
      <c r="K81" s="99"/>
      <c r="L81" s="99" t="s">
        <v>86</v>
      </c>
      <c r="M81" s="99" t="s">
        <v>87</v>
      </c>
      <c r="N81" s="99" t="s">
        <v>93</v>
      </c>
      <c r="O81" s="99"/>
      <c r="P81" s="184" t="s">
        <v>92</v>
      </c>
      <c r="Q81" s="184"/>
      <c r="R81" s="184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359588</v>
      </c>
      <c r="E82" s="106"/>
      <c r="F82" s="120">
        <f>F81+F78+F74</f>
        <v>644.17000000000007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358990</v>
      </c>
      <c r="E85" s="172"/>
      <c r="F85" s="33">
        <v>89.75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6823</v>
      </c>
      <c r="E86" s="172"/>
      <c r="F86" s="33">
        <v>1.02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1583</v>
      </c>
      <c r="E87" s="172"/>
      <c r="F87" s="33">
        <v>0.23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1583</v>
      </c>
      <c r="E88" s="172"/>
      <c r="F88" s="33">
        <v>11.88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520</v>
      </c>
      <c r="E89" s="173"/>
      <c r="F89" s="33">
        <v>5.2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369499</v>
      </c>
      <c r="E90" s="106"/>
      <c r="F90" s="34">
        <f>SUM(F84:F89)</f>
        <v>108.08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49768</v>
      </c>
      <c r="E91" s="193" t="s">
        <v>35</v>
      </c>
      <c r="F91" s="117">
        <v>199.072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19409</v>
      </c>
      <c r="E92" s="193"/>
      <c r="F92" s="117">
        <v>77.635999999999996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412</v>
      </c>
      <c r="E93" s="193"/>
      <c r="F93" s="117">
        <v>1.6480000000000001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67366</v>
      </c>
      <c r="E94" s="193"/>
      <c r="F94" s="117">
        <v>269.464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136955</v>
      </c>
      <c r="E95" s="106"/>
      <c r="F95" s="34">
        <f>SUM(F91:F94)</f>
        <v>547.81999999999994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1063</v>
      </c>
      <c r="E99" s="174" t="s">
        <v>19</v>
      </c>
      <c r="F99" s="33">
        <v>53.150000000000006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520</v>
      </c>
      <c r="E100" s="174"/>
      <c r="F100" s="33">
        <v>36.400000000000006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1583</v>
      </c>
      <c r="E101" s="106"/>
      <c r="F101" s="34">
        <f>SUM(F99:F100)</f>
        <v>89.550000000000011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1583</v>
      </c>
      <c r="E102" s="95" t="s">
        <v>19</v>
      </c>
      <c r="F102" s="33">
        <v>7.0941220267579768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1583</v>
      </c>
      <c r="E103" s="106"/>
      <c r="F103" s="34">
        <f>F102</f>
        <v>7.0941220267579768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1179</v>
      </c>
      <c r="E112" s="95" t="s">
        <v>19</v>
      </c>
      <c r="F112" s="135">
        <v>1.18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1583</v>
      </c>
      <c r="E113" s="95" t="s">
        <v>21</v>
      </c>
      <c r="F113" s="135">
        <v>2.37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7</v>
      </c>
      <c r="E114" s="95" t="s">
        <v>21</v>
      </c>
      <c r="F114" s="135">
        <v>12.6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2771</v>
      </c>
      <c r="E116" s="106"/>
      <c r="F116" s="34">
        <f>SUM(F112:F115)</f>
        <v>17.399999999999999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96</v>
      </c>
      <c r="E119" s="95" t="s">
        <v>19</v>
      </c>
      <c r="F119" s="135">
        <v>7.18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98</v>
      </c>
      <c r="E120" s="106"/>
      <c r="F120" s="54">
        <f>SUM(F118:F119)</f>
        <v>10.18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7</v>
      </c>
      <c r="E121" s="95" t="s">
        <v>19</v>
      </c>
      <c r="F121" s="135">
        <v>3.5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7</v>
      </c>
      <c r="E122" s="95" t="s">
        <v>19</v>
      </c>
      <c r="F122" s="135">
        <v>2.1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7</v>
      </c>
      <c r="E123" s="106"/>
      <c r="F123" s="54">
        <f>SUM(F121:F122)</f>
        <v>5.6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88</v>
      </c>
      <c r="E124" s="95" t="s">
        <v>19</v>
      </c>
      <c r="F124" s="135">
        <v>8.8000000000000007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88</v>
      </c>
      <c r="E125" s="95" t="s">
        <v>19</v>
      </c>
      <c r="F125" s="135">
        <v>10.559999999999999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88</v>
      </c>
      <c r="E126" s="106"/>
      <c r="F126" s="54">
        <f>SUM(F124:F125)</f>
        <v>19.36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500</v>
      </c>
      <c r="E133" s="95" t="s">
        <v>21</v>
      </c>
      <c r="F133" s="135">
        <v>15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500</v>
      </c>
      <c r="E134" s="106"/>
      <c r="F134" s="54">
        <f>F133+F132</f>
        <v>15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4</v>
      </c>
      <c r="E136" s="95" t="s">
        <v>19</v>
      </c>
      <c r="F136" s="135">
        <v>5.25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7</v>
      </c>
      <c r="E137" s="95" t="s">
        <v>19</v>
      </c>
      <c r="F137" s="135">
        <v>134.75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7</v>
      </c>
      <c r="E138" s="95" t="s">
        <v>19</v>
      </c>
      <c r="F138" s="135">
        <v>7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18</v>
      </c>
      <c r="E139" s="106"/>
      <c r="F139" s="54">
        <f>SUM(F136:F138)</f>
        <v>147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888377</v>
      </c>
      <c r="E140" s="146"/>
      <c r="F140" s="148">
        <f>F10+F64+F68+F82+F90+F95+F98+F101+F103+F110+F116+F120+F123+F126+F130+F134+F139</f>
        <v>1716.3806220267579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7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P80:R80"/>
    <mergeCell ref="P81:R81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20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280</v>
      </c>
      <c r="E13" s="95" t="s">
        <v>19</v>
      </c>
      <c r="F13" s="34">
        <v>2.17</v>
      </c>
      <c r="G13" s="106"/>
      <c r="H13" s="106"/>
      <c r="I13" s="106"/>
      <c r="J13" s="106"/>
      <c r="K13" s="106"/>
      <c r="L13" s="106"/>
      <c r="M13" s="115" t="s">
        <v>97</v>
      </c>
      <c r="N13" s="115" t="s">
        <v>97</v>
      </c>
      <c r="O13" s="115" t="s">
        <v>97</v>
      </c>
      <c r="P13" s="115" t="s">
        <v>97</v>
      </c>
      <c r="Q13" s="115" t="s">
        <v>97</v>
      </c>
      <c r="R13" s="115" t="s">
        <v>97</v>
      </c>
    </row>
    <row r="14" spans="1:21">
      <c r="A14" s="190"/>
      <c r="B14" s="111" t="s">
        <v>76</v>
      </c>
      <c r="C14" s="111" t="s">
        <v>42</v>
      </c>
      <c r="D14" s="65">
        <v>280</v>
      </c>
      <c r="E14" s="95" t="s">
        <v>19</v>
      </c>
      <c r="F14" s="34">
        <v>31.41</v>
      </c>
      <c r="G14" s="106"/>
      <c r="H14" s="106"/>
      <c r="I14" s="106"/>
      <c r="J14" s="106"/>
      <c r="K14" s="106"/>
      <c r="L14" s="106"/>
      <c r="M14" s="115" t="s">
        <v>97</v>
      </c>
      <c r="N14" s="115" t="s">
        <v>97</v>
      </c>
      <c r="O14" s="115" t="s">
        <v>97</v>
      </c>
      <c r="P14" s="115" t="s">
        <v>97</v>
      </c>
      <c r="Q14" s="115" t="s">
        <v>97</v>
      </c>
      <c r="R14" s="115" t="s">
        <v>97</v>
      </c>
    </row>
    <row r="15" spans="1:21" ht="15" customHeight="1">
      <c r="A15" s="191"/>
      <c r="B15" s="111" t="s">
        <v>96</v>
      </c>
      <c r="C15" s="111" t="s">
        <v>42</v>
      </c>
      <c r="D15" s="65">
        <v>280</v>
      </c>
      <c r="E15" s="95" t="s">
        <v>19</v>
      </c>
      <c r="F15" s="34">
        <v>1.4</v>
      </c>
      <c r="G15" s="106"/>
      <c r="H15" s="106"/>
      <c r="I15" s="106"/>
      <c r="J15" s="106"/>
      <c r="K15" s="106"/>
      <c r="L15" s="106"/>
      <c r="M15" s="115" t="s">
        <v>97</v>
      </c>
      <c r="N15" s="115" t="s">
        <v>97</v>
      </c>
      <c r="O15" s="115" t="s">
        <v>97</v>
      </c>
      <c r="P15" s="115" t="s">
        <v>97</v>
      </c>
      <c r="Q15" s="115" t="s">
        <v>97</v>
      </c>
      <c r="R15" s="115" t="s">
        <v>97</v>
      </c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68</v>
      </c>
      <c r="E17" s="95" t="s">
        <v>19</v>
      </c>
      <c r="F17" s="114">
        <f>68*775/100000</f>
        <v>0.52700000000000002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68</v>
      </c>
      <c r="E18" s="95" t="s">
        <v>19</v>
      </c>
      <c r="F18" s="33">
        <f>68*11220/100000</f>
        <v>7.6295999999999999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68</v>
      </c>
      <c r="E19" s="95" t="s">
        <v>19</v>
      </c>
      <c r="F19" s="33">
        <f>68*500/100000</f>
        <v>0.34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293</v>
      </c>
      <c r="E21" s="95" t="s">
        <v>19</v>
      </c>
      <c r="F21" s="114">
        <v>1.68</v>
      </c>
      <c r="G21" s="106"/>
      <c r="H21" s="106"/>
      <c r="I21" s="106"/>
      <c r="J21" s="106"/>
      <c r="K21" s="106"/>
      <c r="L21" s="106"/>
      <c r="M21" s="115" t="s">
        <v>97</v>
      </c>
      <c r="N21" s="115" t="s">
        <v>97</v>
      </c>
      <c r="O21" s="115" t="s">
        <v>97</v>
      </c>
      <c r="P21" s="115" t="s">
        <v>97</v>
      </c>
      <c r="Q21" s="115" t="s">
        <v>97</v>
      </c>
      <c r="R21" s="115" t="s">
        <v>97</v>
      </c>
    </row>
    <row r="22" spans="1:18">
      <c r="A22" s="190"/>
      <c r="B22" s="111" t="s">
        <v>76</v>
      </c>
      <c r="C22" s="111" t="s">
        <v>42</v>
      </c>
      <c r="D22" s="65">
        <v>293</v>
      </c>
      <c r="E22" s="95" t="s">
        <v>19</v>
      </c>
      <c r="F22" s="33">
        <v>21.91</v>
      </c>
      <c r="G22" s="106"/>
      <c r="H22" s="106"/>
      <c r="I22" s="106"/>
      <c r="J22" s="106"/>
      <c r="K22" s="106"/>
      <c r="L22" s="106"/>
      <c r="M22" s="115" t="s">
        <v>97</v>
      </c>
      <c r="N22" s="115" t="s">
        <v>97</v>
      </c>
      <c r="O22" s="115" t="s">
        <v>97</v>
      </c>
      <c r="P22" s="115" t="s">
        <v>97</v>
      </c>
      <c r="Q22" s="115" t="s">
        <v>97</v>
      </c>
      <c r="R22" s="115" t="s">
        <v>97</v>
      </c>
    </row>
    <row r="23" spans="1:18" ht="15" customHeight="1">
      <c r="A23" s="191"/>
      <c r="B23" s="111" t="s">
        <v>96</v>
      </c>
      <c r="C23" s="111" t="s">
        <v>42</v>
      </c>
      <c r="D23" s="65">
        <v>293</v>
      </c>
      <c r="E23" s="95" t="s">
        <v>19</v>
      </c>
      <c r="F23" s="33">
        <v>1.46</v>
      </c>
      <c r="G23" s="106"/>
      <c r="H23" s="106"/>
      <c r="I23" s="106"/>
      <c r="J23" s="106"/>
      <c r="K23" s="106"/>
      <c r="L23" s="106"/>
      <c r="M23" s="115" t="s">
        <v>97</v>
      </c>
      <c r="N23" s="115" t="s">
        <v>97</v>
      </c>
      <c r="O23" s="115" t="s">
        <v>97</v>
      </c>
      <c r="P23" s="115" t="s">
        <v>97</v>
      </c>
      <c r="Q23" s="115" t="s">
        <v>97</v>
      </c>
      <c r="R23" s="115" t="s">
        <v>97</v>
      </c>
    </row>
    <row r="24" spans="1:18">
      <c r="A24" s="185" t="s">
        <v>158</v>
      </c>
      <c r="B24" s="187"/>
      <c r="C24" s="111"/>
      <c r="D24" s="94">
        <f>+D21+D17+D13</f>
        <v>641</v>
      </c>
      <c r="E24" s="95"/>
      <c r="F24" s="34">
        <f>SUM(F13:F23)</f>
        <v>68.526600000000002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1363</v>
      </c>
      <c r="E34" s="95" t="s">
        <v>19</v>
      </c>
      <c r="F34" s="114">
        <f>575*D34/100000</f>
        <v>7.83725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1363</v>
      </c>
      <c r="E35" s="95" t="s">
        <v>19</v>
      </c>
      <c r="F35" s="114">
        <f>7480*D35/100000</f>
        <v>101.9524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1363</v>
      </c>
      <c r="E36" s="95" t="s">
        <v>19</v>
      </c>
      <c r="F36" s="114">
        <f>500*D36/100000</f>
        <v>6.8150000000000004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1363</v>
      </c>
      <c r="E37" s="95"/>
      <c r="F37" s="34">
        <f>SUM(F26:F36)</f>
        <v>116.60464999999999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379</v>
      </c>
      <c r="E43" s="95" t="s">
        <v>19</v>
      </c>
      <c r="F43" s="117">
        <v>0.25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379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379</v>
      </c>
      <c r="E45" s="95" t="s">
        <v>19</v>
      </c>
      <c r="F45" s="117">
        <v>1.9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188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3098</v>
      </c>
      <c r="E47" s="95" t="s">
        <v>19</v>
      </c>
      <c r="F47" s="114">
        <f>D47*67/100000</f>
        <v>2.0756600000000001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/>
      <c r="E48" s="95" t="s">
        <v>19</v>
      </c>
      <c r="F48" s="11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3098</v>
      </c>
      <c r="E49" s="95" t="s">
        <v>19</v>
      </c>
      <c r="F49" s="114">
        <f>D49*500/100000</f>
        <v>15.49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3477</v>
      </c>
      <c r="E50" s="95"/>
      <c r="F50" s="34">
        <f>SUM(F39:F49)</f>
        <v>19.71566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813</v>
      </c>
      <c r="E60" s="95" t="s">
        <v>19</v>
      </c>
      <c r="F60" s="114">
        <f>D60*67/100000</f>
        <v>0.54471000000000003</v>
      </c>
      <c r="G60" s="99"/>
      <c r="H60" s="99"/>
      <c r="I60" s="99"/>
      <c r="J60" s="99"/>
      <c r="K60" s="99"/>
      <c r="L60" s="99"/>
      <c r="M60" s="115" t="s">
        <v>97</v>
      </c>
      <c r="N60" s="115" t="s">
        <v>97</v>
      </c>
      <c r="O60" s="115" t="s">
        <v>97</v>
      </c>
      <c r="P60" s="115" t="s">
        <v>97</v>
      </c>
      <c r="Q60" s="115" t="s">
        <v>97</v>
      </c>
      <c r="R60" s="115" t="s">
        <v>97</v>
      </c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/>
      <c r="E61" s="95" t="s">
        <v>19</v>
      </c>
      <c r="F61" s="114">
        <v>0</v>
      </c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813</v>
      </c>
      <c r="E62" s="95" t="s">
        <v>19</v>
      </c>
      <c r="F62" s="114">
        <f>D62*500/100000</f>
        <v>4.0650000000000004</v>
      </c>
      <c r="G62" s="99"/>
      <c r="H62" s="99"/>
      <c r="I62" s="99"/>
      <c r="J62" s="99"/>
      <c r="K62" s="99"/>
      <c r="L62" s="99"/>
      <c r="M62" s="115" t="s">
        <v>97</v>
      </c>
      <c r="N62" s="115" t="s">
        <v>97</v>
      </c>
      <c r="O62" s="115" t="s">
        <v>97</v>
      </c>
      <c r="P62" s="115" t="s">
        <v>97</v>
      </c>
      <c r="Q62" s="115" t="s">
        <v>97</v>
      </c>
      <c r="R62" s="115" t="s">
        <v>97</v>
      </c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813</v>
      </c>
      <c r="E63" s="95"/>
      <c r="F63" s="34">
        <f>SUM(F52:F62)</f>
        <v>4.6097100000000006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6294</v>
      </c>
      <c r="E64" s="106"/>
      <c r="F64" s="120">
        <f>+F63+F50+F37+F24</f>
        <v>209.45661999999999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12964</v>
      </c>
      <c r="E66" s="121" t="s">
        <v>19</v>
      </c>
      <c r="F66" s="33">
        <f>D66*0.0003</f>
        <v>3.8891999999999998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12964</v>
      </c>
      <c r="E67" s="95" t="s">
        <v>78</v>
      </c>
      <c r="F67" s="33">
        <f>D67*0.0003</f>
        <v>3.8891999999999998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12964</v>
      </c>
      <c r="E68" s="106"/>
      <c r="F68" s="34">
        <f>SUM(F66:F67)</f>
        <v>7.7783999999999995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67060</v>
      </c>
      <c r="E69" s="204" t="s">
        <v>17</v>
      </c>
      <c r="F69" s="63">
        <v>100.59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62650</v>
      </c>
      <c r="E70" s="205"/>
      <c r="F70" s="56">
        <v>93.97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63794</v>
      </c>
      <c r="E71" s="205"/>
      <c r="F71" s="56">
        <v>95.69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60438</v>
      </c>
      <c r="E72" s="205"/>
      <c r="F72" s="56">
        <v>90.66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52565</v>
      </c>
      <c r="E73" s="206"/>
      <c r="F73" s="56">
        <v>78.849999999999994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306507</v>
      </c>
      <c r="E74" s="95"/>
      <c r="F74" s="54">
        <f>F69+F70+F71+F72+F73</f>
        <v>459.76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38281</v>
      </c>
      <c r="E75" s="204" t="s">
        <v>17</v>
      </c>
      <c r="F75" s="54">
        <v>95.7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33599</v>
      </c>
      <c r="E76" s="205"/>
      <c r="F76" s="54">
        <v>84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26487</v>
      </c>
      <c r="E77" s="206"/>
      <c r="F77" s="55">
        <v>66.540000000000006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98367</v>
      </c>
      <c r="E78" s="95"/>
      <c r="F78" s="36">
        <f>F75+F76+F77</f>
        <v>246.24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425</v>
      </c>
      <c r="E79" s="95" t="s">
        <v>19</v>
      </c>
      <c r="F79" s="33">
        <v>0.74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425</v>
      </c>
      <c r="E81" s="106"/>
      <c r="F81" s="120">
        <f>F80+F79</f>
        <v>0.74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405299</v>
      </c>
      <c r="E82" s="106"/>
      <c r="F82" s="120">
        <f>F81+F78+F74</f>
        <v>706.74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404874</v>
      </c>
      <c r="E85" s="172"/>
      <c r="F85" s="33">
        <v>101.22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6814</v>
      </c>
      <c r="E86" s="172"/>
      <c r="F86" s="33">
        <v>1.02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2493</v>
      </c>
      <c r="E87" s="172"/>
      <c r="F87" s="33">
        <v>0.37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2493</v>
      </c>
      <c r="E88" s="172"/>
      <c r="F88" s="33">
        <v>18.7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834</v>
      </c>
      <c r="E89" s="173"/>
      <c r="F89" s="33">
        <v>8.34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417508</v>
      </c>
      <c r="E90" s="106"/>
      <c r="F90" s="34">
        <f>SUM(F84:F89)</f>
        <v>129.65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53441</v>
      </c>
      <c r="E91" s="193" t="s">
        <v>35</v>
      </c>
      <c r="F91" s="117">
        <v>213.76400000000001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8475</v>
      </c>
      <c r="E92" s="193"/>
      <c r="F92" s="117">
        <v>33.9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4535</v>
      </c>
      <c r="E93" s="193"/>
      <c r="F93" s="117">
        <v>18.14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61962</v>
      </c>
      <c r="E94" s="193"/>
      <c r="F94" s="117">
        <v>247.84800000000001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128413</v>
      </c>
      <c r="E95" s="106"/>
      <c r="F95" s="34">
        <f>SUM(F91:F94)</f>
        <v>513.65200000000004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1659</v>
      </c>
      <c r="E99" s="174" t="s">
        <v>19</v>
      </c>
      <c r="F99" s="33">
        <v>82.95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834</v>
      </c>
      <c r="E100" s="174"/>
      <c r="F100" s="33">
        <v>58.38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2493</v>
      </c>
      <c r="E101" s="106"/>
      <c r="F101" s="34">
        <f>SUM(F99:F100)</f>
        <v>141.33000000000001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2493</v>
      </c>
      <c r="E102" s="95" t="s">
        <v>19</v>
      </c>
      <c r="F102" s="33">
        <v>11.172233867787515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2493</v>
      </c>
      <c r="E103" s="106"/>
      <c r="F103" s="34">
        <f>F102</f>
        <v>11.172233867787515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1659</v>
      </c>
      <c r="E112" s="95" t="s">
        <v>19</v>
      </c>
      <c r="F112" s="135">
        <v>1.65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2493</v>
      </c>
      <c r="E113" s="95" t="s">
        <v>21</v>
      </c>
      <c r="F113" s="135">
        <v>3.74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7</v>
      </c>
      <c r="E114" s="95" t="s">
        <v>21</v>
      </c>
      <c r="F114" s="135">
        <v>12.6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 t="s">
        <v>97</v>
      </c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4161</v>
      </c>
      <c r="E116" s="106"/>
      <c r="F116" s="34">
        <f>SUM(F112:F115)</f>
        <v>19.240000000000002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132</v>
      </c>
      <c r="E119" s="95" t="s">
        <v>19</v>
      </c>
      <c r="F119" s="135">
        <v>9.34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134</v>
      </c>
      <c r="E120" s="106"/>
      <c r="F120" s="54">
        <f>SUM(F118:F119)</f>
        <v>12.34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7</v>
      </c>
      <c r="E121" s="95" t="s">
        <v>19</v>
      </c>
      <c r="F121" s="135">
        <v>3.5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7</v>
      </c>
      <c r="E122" s="95" t="s">
        <v>19</v>
      </c>
      <c r="F122" s="135">
        <v>2.1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7</v>
      </c>
      <c r="E123" s="106"/>
      <c r="F123" s="54">
        <f>SUM(F121:F122)</f>
        <v>5.6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124</v>
      </c>
      <c r="E124" s="95" t="s">
        <v>19</v>
      </c>
      <c r="F124" s="135">
        <v>12.4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124</v>
      </c>
      <c r="E125" s="95" t="s">
        <v>19</v>
      </c>
      <c r="F125" s="135">
        <v>14.879999999999999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124</v>
      </c>
      <c r="E126" s="106"/>
      <c r="F126" s="54">
        <f>SUM(F124:F125)</f>
        <v>27.28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740</v>
      </c>
      <c r="E133" s="95" t="s">
        <v>21</v>
      </c>
      <c r="F133" s="135">
        <v>22.2</v>
      </c>
      <c r="G133" s="98"/>
      <c r="H133" s="98"/>
      <c r="I133" s="98"/>
      <c r="J133" s="98"/>
      <c r="K133" s="98"/>
      <c r="L133" s="98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740</v>
      </c>
      <c r="E134" s="106"/>
      <c r="F134" s="54">
        <f>F133+F132</f>
        <v>22.2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</v>
      </c>
      <c r="E136" s="95" t="s">
        <v>19</v>
      </c>
      <c r="F136" s="135">
        <v>17.399999999999999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8</v>
      </c>
      <c r="E137" s="95" t="s">
        <v>19</v>
      </c>
      <c r="F137" s="135">
        <v>154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8</v>
      </c>
      <c r="E138" s="95" t="s">
        <v>19</v>
      </c>
      <c r="F138" s="135">
        <v>8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17</v>
      </c>
      <c r="E139" s="106"/>
      <c r="F139" s="54">
        <f>SUM(F136:F138)</f>
        <v>179.4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980648</v>
      </c>
      <c r="E140" s="146"/>
      <c r="F140" s="148">
        <f>F10+F64+F68+F82+F90+F95+F98+F101+F103+F110+F116+F120+F123+F126+F130+F134+F139</f>
        <v>2000.3392538677874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P85:R85"/>
    <mergeCell ref="P86:R86"/>
    <mergeCell ref="P87:R87"/>
    <mergeCell ref="P88:R88"/>
    <mergeCell ref="P89:R89"/>
    <mergeCell ref="P79:R7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8:A41"/>
    <mergeCell ref="A42:A45"/>
    <mergeCell ref="A46:A49"/>
    <mergeCell ref="A50:B50"/>
    <mergeCell ref="A33:A36"/>
    <mergeCell ref="A37:B37"/>
    <mergeCell ref="A10:B10"/>
    <mergeCell ref="A12:A15"/>
    <mergeCell ref="A16:A19"/>
    <mergeCell ref="A20:A23"/>
    <mergeCell ref="A24:B24"/>
    <mergeCell ref="A25:A28"/>
    <mergeCell ref="A29:A32"/>
    <mergeCell ref="A51:A54"/>
    <mergeCell ref="A55:A58"/>
    <mergeCell ref="A59:A62"/>
    <mergeCell ref="A64:B64"/>
    <mergeCell ref="A68:B68"/>
    <mergeCell ref="A63:B63"/>
    <mergeCell ref="A81:B81"/>
    <mergeCell ref="A82:C82"/>
    <mergeCell ref="E84:E89"/>
    <mergeCell ref="G84:L84"/>
    <mergeCell ref="A69:A73"/>
    <mergeCell ref="B69:B73"/>
    <mergeCell ref="E69:E73"/>
    <mergeCell ref="G69:K7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P69:R69"/>
    <mergeCell ref="P70:R70"/>
    <mergeCell ref="P71:R71"/>
    <mergeCell ref="P72:R72"/>
    <mergeCell ref="P73:R73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9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30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5" customHeight="1">
      <c r="A2" s="197" t="s">
        <v>107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462</v>
      </c>
      <c r="E17" s="95" t="s">
        <v>19</v>
      </c>
      <c r="F17" s="114">
        <f>462*775/100000</f>
        <v>3.5804999999999998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462</v>
      </c>
      <c r="E18" s="95" t="s">
        <v>19</v>
      </c>
      <c r="F18" s="33">
        <f>462*11220/100000</f>
        <v>51.836399999999998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462</v>
      </c>
      <c r="E19" s="95" t="s">
        <v>19</v>
      </c>
      <c r="F19" s="33">
        <f>462*500/100000</f>
        <v>2.31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462</v>
      </c>
      <c r="E24" s="95"/>
      <c r="F24" s="34">
        <f>SUM(F13:F23)</f>
        <v>57.726900000000001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300</v>
      </c>
      <c r="E34" s="95" t="s">
        <v>19</v>
      </c>
      <c r="F34" s="114">
        <v>1.72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300</v>
      </c>
      <c r="E35" s="95" t="s">
        <v>19</v>
      </c>
      <c r="F35" s="33">
        <v>22.44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300</v>
      </c>
      <c r="E36" s="95" t="s">
        <v>19</v>
      </c>
      <c r="F36" s="33">
        <v>1.5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300</v>
      </c>
      <c r="E37" s="95"/>
      <c r="F37" s="34">
        <f>SUM(F26:F36)</f>
        <v>25.66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 ht="81" customHeight="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30.7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740</v>
      </c>
      <c r="E43" s="95" t="s">
        <v>19</v>
      </c>
      <c r="F43" s="117">
        <v>0.49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740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740</v>
      </c>
      <c r="E45" s="95" t="s">
        <v>19</v>
      </c>
      <c r="F45" s="117">
        <v>3.7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0</v>
      </c>
      <c r="E47" s="95" t="s">
        <v>19</v>
      </c>
      <c r="F47" s="34">
        <v>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0</v>
      </c>
      <c r="E49" s="95" t="s">
        <v>19</v>
      </c>
      <c r="F49" s="34">
        <v>0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740</v>
      </c>
      <c r="E50" s="95"/>
      <c r="F50" s="34">
        <f>SUM(F39:F49)</f>
        <v>4.1900000000000004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15" customHeight="1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1502</v>
      </c>
      <c r="E64" s="106"/>
      <c r="F64" s="120">
        <f>+F63+F50+F37+F24</f>
        <v>87.576899999999995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8865</v>
      </c>
      <c r="E66" s="121" t="s">
        <v>19</v>
      </c>
      <c r="F66" s="33">
        <f>D66*0.0003</f>
        <v>2.6595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8865</v>
      </c>
      <c r="E67" s="95" t="s">
        <v>78</v>
      </c>
      <c r="F67" s="33">
        <f>D67*0.0003</f>
        <v>2.6595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8865</v>
      </c>
      <c r="E68" s="106"/>
      <c r="F68" s="34">
        <f>SUM(F66:F67)</f>
        <v>5.319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36818</v>
      </c>
      <c r="E69" s="204" t="s">
        <v>17</v>
      </c>
      <c r="F69" s="63">
        <v>55.22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29361</v>
      </c>
      <c r="E70" s="205"/>
      <c r="F70" s="56">
        <v>44.04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27904</v>
      </c>
      <c r="E71" s="205"/>
      <c r="F71" s="56">
        <v>41.86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27476</v>
      </c>
      <c r="E72" s="205"/>
      <c r="F72" s="56">
        <v>41.21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26432</v>
      </c>
      <c r="E73" s="206"/>
      <c r="F73" s="56">
        <v>39.65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147991</v>
      </c>
      <c r="E74" s="95"/>
      <c r="F74" s="54">
        <f>F69+F70+F71+F72+F73</f>
        <v>221.98000000000002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22728</v>
      </c>
      <c r="E75" s="204" t="s">
        <v>17</v>
      </c>
      <c r="F75" s="54">
        <v>56.82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22057</v>
      </c>
      <c r="E76" s="205"/>
      <c r="F76" s="54">
        <v>55.14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16899</v>
      </c>
      <c r="E77" s="206"/>
      <c r="F77" s="55">
        <v>42.95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61684</v>
      </c>
      <c r="E78" s="95"/>
      <c r="F78" s="36">
        <f>F75+F76+F77</f>
        <v>154.91000000000003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147</v>
      </c>
      <c r="E79" s="95" t="s">
        <v>19</v>
      </c>
      <c r="F79" s="33">
        <v>0.28000000000000003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916</v>
      </c>
      <c r="E80" s="95" t="s">
        <v>19</v>
      </c>
      <c r="F80" s="33">
        <v>1.68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1063</v>
      </c>
      <c r="E81" s="106"/>
      <c r="F81" s="120">
        <f>F80+F79</f>
        <v>1.96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210738</v>
      </c>
      <c r="E82" s="106"/>
      <c r="F82" s="120">
        <f>F81+F78+F74</f>
        <v>378.85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209675</v>
      </c>
      <c r="E85" s="172"/>
      <c r="F85" s="33">
        <v>52.42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4772</v>
      </c>
      <c r="E86" s="172"/>
      <c r="F86" s="33">
        <v>0.71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1073</v>
      </c>
      <c r="E87" s="172"/>
      <c r="F87" s="33">
        <v>0.16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1073</v>
      </c>
      <c r="E88" s="172"/>
      <c r="F88" s="33">
        <v>8.0500000000000007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294</v>
      </c>
      <c r="E89" s="173"/>
      <c r="F89" s="33">
        <v>2.94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216887</v>
      </c>
      <c r="E90" s="106"/>
      <c r="F90" s="34">
        <f>SUM(F84:F89)</f>
        <v>64.28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32124</v>
      </c>
      <c r="E91" s="193" t="s">
        <v>35</v>
      </c>
      <c r="F91" s="117">
        <v>128.49600000000001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12029</v>
      </c>
      <c r="E92" s="193"/>
      <c r="F92" s="117">
        <v>48.116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1153</v>
      </c>
      <c r="E93" s="193"/>
      <c r="F93" s="117">
        <v>4.6120000000000001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41458</v>
      </c>
      <c r="E94" s="193"/>
      <c r="F94" s="117">
        <v>165.83199999999999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86764</v>
      </c>
      <c r="E95" s="106"/>
      <c r="F95" s="34">
        <f>SUM(F91:F94)</f>
        <v>347.05600000000004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779</v>
      </c>
      <c r="E99" s="174" t="s">
        <v>19</v>
      </c>
      <c r="F99" s="33">
        <v>38.950000000000003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294</v>
      </c>
      <c r="E100" s="174"/>
      <c r="F100" s="33">
        <v>20.580000000000002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1073</v>
      </c>
      <c r="E101" s="106"/>
      <c r="F101" s="34">
        <f>SUM(F99:F100)</f>
        <v>59.53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1073</v>
      </c>
      <c r="E102" s="95" t="s">
        <v>19</v>
      </c>
      <c r="F102" s="33">
        <v>4.8085868191480152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1073</v>
      </c>
      <c r="E103" s="106"/>
      <c r="F103" s="34">
        <f>F102</f>
        <v>4.8085868191480152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797</v>
      </c>
      <c r="E112" s="95" t="s">
        <v>19</v>
      </c>
      <c r="F112" s="135">
        <v>0.79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1073</v>
      </c>
      <c r="E113" s="95" t="s">
        <v>21</v>
      </c>
      <c r="F113" s="135">
        <v>1.61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7</v>
      </c>
      <c r="E114" s="95" t="s">
        <v>21</v>
      </c>
      <c r="F114" s="135">
        <v>12.6</v>
      </c>
      <c r="G114" s="99"/>
      <c r="H114" s="99"/>
      <c r="I114" s="99"/>
      <c r="J114" s="99"/>
      <c r="K114" s="99" t="s">
        <v>97</v>
      </c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1879</v>
      </c>
      <c r="E116" s="106"/>
      <c r="F116" s="34">
        <f>SUM(F112:F115)</f>
        <v>16.25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69</v>
      </c>
      <c r="E119" s="95" t="s">
        <v>19</v>
      </c>
      <c r="F119" s="135">
        <v>5.56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71</v>
      </c>
      <c r="E120" s="106"/>
      <c r="F120" s="54">
        <f>SUM(F118:F119)</f>
        <v>8.5599999999999987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7</v>
      </c>
      <c r="E121" s="95" t="s">
        <v>19</v>
      </c>
      <c r="F121" s="135">
        <v>3.5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7</v>
      </c>
      <c r="E122" s="95" t="s">
        <v>19</v>
      </c>
      <c r="F122" s="135">
        <v>2.1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7</v>
      </c>
      <c r="E123" s="106"/>
      <c r="F123" s="54">
        <f>SUM(F121:F122)</f>
        <v>5.6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61</v>
      </c>
      <c r="E124" s="95" t="s">
        <v>19</v>
      </c>
      <c r="F124" s="135">
        <v>6.1000000000000005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61</v>
      </c>
      <c r="E125" s="95" t="s">
        <v>19</v>
      </c>
      <c r="F125" s="135">
        <v>7.3199999999999994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61</v>
      </c>
      <c r="E126" s="106"/>
      <c r="F126" s="54">
        <f>SUM(F124:F125)</f>
        <v>13.42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1065</v>
      </c>
      <c r="E133" s="95" t="s">
        <v>21</v>
      </c>
      <c r="F133" s="135">
        <v>31.95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1065</v>
      </c>
      <c r="E134" s="106"/>
      <c r="F134" s="54">
        <f>F133+F132</f>
        <v>31.95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2</v>
      </c>
      <c r="E136" s="95" t="s">
        <v>19</v>
      </c>
      <c r="F136" s="135">
        <v>7.5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6</v>
      </c>
      <c r="E137" s="95" t="s">
        <v>19</v>
      </c>
      <c r="F137" s="135">
        <v>115.5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6</v>
      </c>
      <c r="E138" s="95" t="s">
        <v>19</v>
      </c>
      <c r="F138" s="135">
        <v>6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14</v>
      </c>
      <c r="E139" s="106"/>
      <c r="F139" s="54">
        <f>SUM(F136:F138)</f>
        <v>129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530000</v>
      </c>
      <c r="E140" s="146"/>
      <c r="F140" s="148">
        <f>F10+F64+F68+F82+F90+F95+F98+F101+F103+F110+F116+F120+F123+F126+F130+F134+F139</f>
        <v>1166.700486819148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P80:R80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21" right="0.17" top="0.33" bottom="0.26" header="0.31496062992126" footer="0.17"/>
  <pageSetup paperSize="9" scale="89" orientation="landscape" r:id="rId1"/>
  <rowBreaks count="4" manualBreakCount="4">
    <brk id="23" max="17" man="1"/>
    <brk id="38" max="16383" man="1"/>
    <brk id="53" max="17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2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0</v>
      </c>
      <c r="E17" s="95" t="s">
        <v>19</v>
      </c>
      <c r="F17" s="114"/>
      <c r="G17" s="106"/>
      <c r="H17" s="106"/>
      <c r="I17" s="106"/>
      <c r="J17" s="106"/>
      <c r="K17" s="106"/>
      <c r="L17" s="106"/>
      <c r="M17" s="115"/>
      <c r="N17" s="115"/>
      <c r="O17" s="115"/>
      <c r="P17" s="115"/>
      <c r="Q17" s="115"/>
      <c r="R17" s="115"/>
    </row>
    <row r="18" spans="1:18">
      <c r="A18" s="190"/>
      <c r="B18" s="111" t="s">
        <v>76</v>
      </c>
      <c r="C18" s="111" t="s">
        <v>42</v>
      </c>
      <c r="D18" s="65">
        <v>0</v>
      </c>
      <c r="E18" s="95" t="s">
        <v>19</v>
      </c>
      <c r="F18" s="33"/>
      <c r="G18" s="106"/>
      <c r="H18" s="106"/>
      <c r="I18" s="106"/>
      <c r="J18" s="106"/>
      <c r="K18" s="106"/>
      <c r="L18" s="106"/>
      <c r="M18" s="115"/>
      <c r="N18" s="115"/>
      <c r="O18" s="115"/>
      <c r="P18" s="115"/>
      <c r="Q18" s="115"/>
      <c r="R18" s="115"/>
    </row>
    <row r="19" spans="1:18" ht="15" customHeight="1">
      <c r="A19" s="191"/>
      <c r="B19" s="111" t="s">
        <v>96</v>
      </c>
      <c r="C19" s="111" t="s">
        <v>42</v>
      </c>
      <c r="D19" s="65">
        <v>0</v>
      </c>
      <c r="E19" s="95" t="s">
        <v>19</v>
      </c>
      <c r="F19" s="33"/>
      <c r="G19" s="106"/>
      <c r="H19" s="106"/>
      <c r="I19" s="106"/>
      <c r="J19" s="106"/>
      <c r="K19" s="106"/>
      <c r="L19" s="106"/>
      <c r="M19" s="115"/>
      <c r="N19" s="115"/>
      <c r="O19" s="115"/>
      <c r="P19" s="115"/>
      <c r="Q19" s="115"/>
      <c r="R19" s="115"/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0</v>
      </c>
      <c r="E24" s="95"/>
      <c r="F24" s="34">
        <f>SUM(F13:F23)</f>
        <v>0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0</v>
      </c>
      <c r="E34" s="95" t="s">
        <v>19</v>
      </c>
      <c r="F34" s="114"/>
      <c r="G34" s="106"/>
      <c r="H34" s="106"/>
      <c r="I34" s="106"/>
      <c r="J34" s="106"/>
      <c r="K34" s="106"/>
      <c r="L34" s="106"/>
      <c r="M34" s="115"/>
      <c r="N34" s="115"/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0</v>
      </c>
      <c r="E35" s="95" t="s">
        <v>19</v>
      </c>
      <c r="F35" s="33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65">
        <v>0</v>
      </c>
      <c r="E36" s="95" t="s">
        <v>19</v>
      </c>
      <c r="F36" s="33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0</v>
      </c>
      <c r="E37" s="95"/>
      <c r="F37" s="34">
        <f>SUM(F26:F36)</f>
        <v>0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1427</v>
      </c>
      <c r="E43" s="95" t="s">
        <v>19</v>
      </c>
      <c r="F43" s="117">
        <v>0.96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1427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1427</v>
      </c>
      <c r="E45" s="95" t="s">
        <v>19</v>
      </c>
      <c r="F45" s="117">
        <v>7.13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1896</v>
      </c>
      <c r="E47" s="95" t="s">
        <v>19</v>
      </c>
      <c r="F47" s="117">
        <v>1.27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1896</v>
      </c>
      <c r="E48" s="95" t="s">
        <v>19</v>
      </c>
      <c r="F48" s="117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1896</v>
      </c>
      <c r="E49" s="95" t="s">
        <v>19</v>
      </c>
      <c r="F49" s="117">
        <v>9.48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3323</v>
      </c>
      <c r="E50" s="95"/>
      <c r="F50" s="34">
        <f>SUM(F39:F49)</f>
        <v>18.84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3323</v>
      </c>
      <c r="E64" s="106"/>
      <c r="F64" s="120">
        <f>+F63+F50+F37+F24</f>
        <v>18.84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16404</v>
      </c>
      <c r="E66" s="121" t="s">
        <v>19</v>
      </c>
      <c r="F66" s="33">
        <f>D66*0.0003</f>
        <v>4.9211999999999998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16404</v>
      </c>
      <c r="E67" s="95" t="s">
        <v>78</v>
      </c>
      <c r="F67" s="33">
        <f>D67*0.0003</f>
        <v>4.9211999999999998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16404</v>
      </c>
      <c r="E68" s="106"/>
      <c r="F68" s="34">
        <f>SUM(F66:F67)</f>
        <v>9.8423999999999996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68578</v>
      </c>
      <c r="E69" s="204" t="s">
        <v>17</v>
      </c>
      <c r="F69" s="63">
        <v>102.86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59579</v>
      </c>
      <c r="E70" s="205"/>
      <c r="F70" s="56">
        <v>89.37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64624</v>
      </c>
      <c r="E71" s="205"/>
      <c r="F71" s="56">
        <v>96.94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64877</v>
      </c>
      <c r="E72" s="205"/>
      <c r="F72" s="56">
        <v>97.32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76503</v>
      </c>
      <c r="E73" s="206"/>
      <c r="F73" s="56">
        <v>114.75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334161</v>
      </c>
      <c r="E74" s="95"/>
      <c r="F74" s="54">
        <f>F69+F70+F71+F72+F73</f>
        <v>501.24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55670</v>
      </c>
      <c r="E75" s="204" t="s">
        <v>17</v>
      </c>
      <c r="F75" s="54">
        <v>139.16999999999999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50277</v>
      </c>
      <c r="E76" s="205"/>
      <c r="F76" s="54">
        <v>125.69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36633</v>
      </c>
      <c r="E77" s="206"/>
      <c r="F77" s="55">
        <v>91.59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142580</v>
      </c>
      <c r="E78" s="95"/>
      <c r="F78" s="36">
        <f>F75+F76+F77</f>
        <v>356.45000000000005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476741</v>
      </c>
      <c r="E82" s="106"/>
      <c r="F82" s="120">
        <f>F81+F78+F74</f>
        <v>857.69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476741</v>
      </c>
      <c r="E85" s="172"/>
      <c r="F85" s="33">
        <v>119.18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8234</v>
      </c>
      <c r="E86" s="172"/>
      <c r="F86" s="33">
        <v>1.24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2329</v>
      </c>
      <c r="E87" s="172"/>
      <c r="F87" s="33">
        <v>0.35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2329</v>
      </c>
      <c r="E88" s="172"/>
      <c r="F88" s="33">
        <v>17.46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739</v>
      </c>
      <c r="E89" s="173"/>
      <c r="F89" s="33">
        <v>7.39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490372</v>
      </c>
      <c r="E90" s="106"/>
      <c r="F90" s="34">
        <f>SUM(F84:F89)</f>
        <v>145.61999999999998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60431</v>
      </c>
      <c r="E91" s="193" t="s">
        <v>35</v>
      </c>
      <c r="F91" s="117">
        <v>241.72400000000002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26833</v>
      </c>
      <c r="E92" s="193"/>
      <c r="F92" s="117">
        <v>107.33200000000001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1288</v>
      </c>
      <c r="E93" s="193"/>
      <c r="F93" s="117">
        <v>5.1520000000000001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89574</v>
      </c>
      <c r="E94" s="193"/>
      <c r="F94" s="117">
        <v>358.29599999999999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178126</v>
      </c>
      <c r="E95" s="106"/>
      <c r="F95" s="34">
        <f>SUM(F91:F94)</f>
        <v>712.50400000000002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1590</v>
      </c>
      <c r="E99" s="174" t="s">
        <v>19</v>
      </c>
      <c r="F99" s="33">
        <v>79.5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739</v>
      </c>
      <c r="E100" s="174"/>
      <c r="F100" s="33">
        <v>51.730000000000004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2329</v>
      </c>
      <c r="E101" s="106"/>
      <c r="F101" s="34">
        <f>SUM(F99:F100)</f>
        <v>131.23000000000002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2329</v>
      </c>
      <c r="E102" s="95" t="s">
        <v>19</v>
      </c>
      <c r="F102" s="33">
        <v>10.437277448085487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2329</v>
      </c>
      <c r="E103" s="106"/>
      <c r="F103" s="34">
        <f>F102</f>
        <v>10.437277448085487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4.5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18.5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1592</v>
      </c>
      <c r="E112" s="95" t="s">
        <v>19</v>
      </c>
      <c r="F112" s="135">
        <v>1.59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2329</v>
      </c>
      <c r="E113" s="95" t="s">
        <v>21</v>
      </c>
      <c r="F113" s="135">
        <v>3.45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13</v>
      </c>
      <c r="E114" s="95" t="s">
        <v>21</v>
      </c>
      <c r="F114" s="135">
        <v>23.4</v>
      </c>
      <c r="G114" s="99"/>
      <c r="H114" s="99"/>
      <c r="I114" s="99"/>
      <c r="J114" s="99"/>
      <c r="K114" s="99" t="s">
        <v>97</v>
      </c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3936</v>
      </c>
      <c r="E116" s="106"/>
      <c r="F116" s="34">
        <f>SUM(F112:F115)</f>
        <v>29.689999999999998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137</v>
      </c>
      <c r="E119" s="95" t="s">
        <v>19</v>
      </c>
      <c r="F119" s="135">
        <v>10.73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139</v>
      </c>
      <c r="E120" s="106"/>
      <c r="F120" s="54">
        <f>SUM(F118:F119)</f>
        <v>13.73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13</v>
      </c>
      <c r="E121" s="95" t="s">
        <v>19</v>
      </c>
      <c r="F121" s="135">
        <v>6.5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13</v>
      </c>
      <c r="E122" s="95" t="s">
        <v>19</v>
      </c>
      <c r="F122" s="135">
        <v>3.9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13</v>
      </c>
      <c r="E123" s="106"/>
      <c r="F123" s="54">
        <f>SUM(F121:F122)</f>
        <v>10.4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123</v>
      </c>
      <c r="E124" s="95" t="s">
        <v>19</v>
      </c>
      <c r="F124" s="135">
        <v>12.3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123</v>
      </c>
      <c r="E125" s="95" t="s">
        <v>19</v>
      </c>
      <c r="F125" s="135">
        <v>14.76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123</v>
      </c>
      <c r="E126" s="106"/>
      <c r="F126" s="54">
        <f>SUM(F124:F125)</f>
        <v>27.060000000000002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1331</v>
      </c>
      <c r="E133" s="95" t="s">
        <v>21</v>
      </c>
      <c r="F133" s="135">
        <v>39.93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1331</v>
      </c>
      <c r="E134" s="106"/>
      <c r="F134" s="54">
        <f>F133+F132</f>
        <v>39.93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11</v>
      </c>
      <c r="E136" s="95" t="s">
        <v>19</v>
      </c>
      <c r="F136" s="135">
        <v>8.25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13</v>
      </c>
      <c r="E137" s="95" t="s">
        <v>19</v>
      </c>
      <c r="F137" s="135">
        <v>250.25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13</v>
      </c>
      <c r="E138" s="95" t="s">
        <v>19</v>
      </c>
      <c r="F138" s="135">
        <v>13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37</v>
      </c>
      <c r="E139" s="106"/>
      <c r="F139" s="54">
        <f>SUM(F136:F138)</f>
        <v>271.5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1175204</v>
      </c>
      <c r="E140" s="146"/>
      <c r="F140" s="148">
        <f>F10+F64+F68+F82+F90+F95+F98+F101+F103+F110+F116+F120+F123+F126+F130+F134+F139</f>
        <v>2296.9736774480857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14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108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1850</v>
      </c>
      <c r="E17" s="95" t="s">
        <v>19</v>
      </c>
      <c r="F17" s="114">
        <f>1850*775/100000</f>
        <v>14.3375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1850</v>
      </c>
      <c r="E18" s="95" t="s">
        <v>19</v>
      </c>
      <c r="F18" s="33">
        <f>1850*11220/100000</f>
        <v>207.57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1850</v>
      </c>
      <c r="E19" s="95" t="s">
        <v>19</v>
      </c>
      <c r="F19" s="33">
        <f>1850*500/100000</f>
        <v>9.25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1850</v>
      </c>
      <c r="E24" s="95"/>
      <c r="F24" s="34">
        <f>SUM(F13:F23)</f>
        <v>231.1575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400</v>
      </c>
      <c r="E34" s="95" t="s">
        <v>19</v>
      </c>
      <c r="F34" s="114">
        <v>2.2999999999999998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400</v>
      </c>
      <c r="E35" s="95" t="s">
        <v>19</v>
      </c>
      <c r="F35" s="33">
        <v>29.92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400</v>
      </c>
      <c r="E36" s="95" t="s">
        <v>19</v>
      </c>
      <c r="F36" s="33">
        <v>2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400</v>
      </c>
      <c r="E37" s="95"/>
      <c r="F37" s="34">
        <f>SUM(F26:F36)</f>
        <v>34.22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5027</v>
      </c>
      <c r="E39" s="95" t="s">
        <v>19</v>
      </c>
      <c r="F39" s="34">
        <v>3.36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5027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5027</v>
      </c>
      <c r="E41" s="95" t="s">
        <v>19</v>
      </c>
      <c r="F41" s="34">
        <v>25.13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1874</v>
      </c>
      <c r="E43" s="95" t="s">
        <v>19</v>
      </c>
      <c r="F43" s="117">
        <v>1.25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1874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1874</v>
      </c>
      <c r="E45" s="95" t="s">
        <v>19</v>
      </c>
      <c r="F45" s="117">
        <v>9.3699999999999992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1575</v>
      </c>
      <c r="E47" s="95" t="s">
        <v>19</v>
      </c>
      <c r="F47" s="117">
        <v>1.05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1575</v>
      </c>
      <c r="E48" s="95" t="s">
        <v>19</v>
      </c>
      <c r="F48" s="117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1575</v>
      </c>
      <c r="E49" s="95" t="s">
        <v>19</v>
      </c>
      <c r="F49" s="117">
        <v>7.87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8476</v>
      </c>
      <c r="E50" s="95"/>
      <c r="F50" s="34">
        <f>SUM(F39:F49)</f>
        <v>48.029999999999994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10726</v>
      </c>
      <c r="E64" s="106"/>
      <c r="F64" s="120">
        <f>+F63+F50+F37+F24</f>
        <v>313.40750000000003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33661</v>
      </c>
      <c r="E66" s="121" t="s">
        <v>19</v>
      </c>
      <c r="F66" s="33">
        <f>D66*0.0003</f>
        <v>10.098299999999998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33661</v>
      </c>
      <c r="E67" s="95" t="s">
        <v>78</v>
      </c>
      <c r="F67" s="33">
        <f>D67*0.0003</f>
        <v>10.098299999999998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33661</v>
      </c>
      <c r="E68" s="106"/>
      <c r="F68" s="34">
        <f>SUM(F66:F67)</f>
        <v>20.196599999999997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199564</v>
      </c>
      <c r="E69" s="204" t="s">
        <v>17</v>
      </c>
      <c r="F69" s="63">
        <v>299.33999999999997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119652</v>
      </c>
      <c r="E70" s="205"/>
      <c r="F70" s="56">
        <v>179.48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125414</v>
      </c>
      <c r="E71" s="205"/>
      <c r="F71" s="56">
        <v>188.12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132627</v>
      </c>
      <c r="E72" s="205"/>
      <c r="F72" s="56">
        <v>198.94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125992</v>
      </c>
      <c r="E73" s="206"/>
      <c r="F73" s="56">
        <v>188.99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703249</v>
      </c>
      <c r="E74" s="95"/>
      <c r="F74" s="54">
        <f>F69+F70+F71+F72+F73</f>
        <v>1054.8699999999999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111111</v>
      </c>
      <c r="E75" s="204" t="s">
        <v>17</v>
      </c>
      <c r="F75" s="54">
        <v>277.77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103428</v>
      </c>
      <c r="E76" s="205"/>
      <c r="F76" s="54">
        <v>258.57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82107</v>
      </c>
      <c r="E77" s="206"/>
      <c r="F77" s="55">
        <v>205.27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296646</v>
      </c>
      <c r="E78" s="95"/>
      <c r="F78" s="36">
        <f>F75+F76+F77</f>
        <v>741.6099999999999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999895</v>
      </c>
      <c r="E82" s="106"/>
      <c r="F82" s="120">
        <f>F81+F78+F74</f>
        <v>1796.4799999999998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999895</v>
      </c>
      <c r="E85" s="172"/>
      <c r="F85" s="33">
        <v>249.98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16834</v>
      </c>
      <c r="E86" s="172"/>
      <c r="F86" s="33">
        <v>2.52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4334</v>
      </c>
      <c r="E87" s="172"/>
      <c r="F87" s="33">
        <v>0.65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4334</v>
      </c>
      <c r="E88" s="172"/>
      <c r="F88" s="33">
        <v>32.5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1184</v>
      </c>
      <c r="E89" s="173"/>
      <c r="F89" s="33">
        <v>11.84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1026581</v>
      </c>
      <c r="E90" s="106"/>
      <c r="F90" s="34">
        <f>SUM(F84:F89)</f>
        <v>297.48999999999995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108211</v>
      </c>
      <c r="E91" s="193" t="s">
        <v>35</v>
      </c>
      <c r="F91" s="117">
        <v>432.84399999999999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44086</v>
      </c>
      <c r="E92" s="193"/>
      <c r="F92" s="117">
        <v>176.34399999999999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447</v>
      </c>
      <c r="E93" s="193"/>
      <c r="F93" s="117">
        <v>1.788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166563</v>
      </c>
      <c r="E94" s="193"/>
      <c r="F94" s="117">
        <v>666.25200000000007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319307</v>
      </c>
      <c r="E95" s="106"/>
      <c r="F95" s="34">
        <f>SUM(F91:F94)</f>
        <v>1277.2280000000001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3150</v>
      </c>
      <c r="E99" s="174" t="s">
        <v>19</v>
      </c>
      <c r="F99" s="33">
        <v>157.5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1184</v>
      </c>
      <c r="E100" s="174"/>
      <c r="F100" s="33">
        <v>82.88000000000001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4334</v>
      </c>
      <c r="E101" s="106"/>
      <c r="F101" s="34">
        <f>SUM(F99:F100)</f>
        <v>240.38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4334</v>
      </c>
      <c r="E102" s="95" t="s">
        <v>19</v>
      </c>
      <c r="F102" s="33">
        <v>19.422567823101119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4334</v>
      </c>
      <c r="E103" s="106"/>
      <c r="F103" s="34">
        <f>F102</f>
        <v>19.422567823101119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3151</v>
      </c>
      <c r="E112" s="95" t="s">
        <v>19</v>
      </c>
      <c r="F112" s="135">
        <v>3.15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4334</v>
      </c>
      <c r="E113" s="95" t="s">
        <v>21</v>
      </c>
      <c r="F113" s="135">
        <v>6.5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21</v>
      </c>
      <c r="E114" s="95" t="s">
        <v>21</v>
      </c>
      <c r="F114" s="135">
        <v>37.799999999999997</v>
      </c>
      <c r="G114" s="99"/>
      <c r="H114" s="99"/>
      <c r="I114" s="99"/>
      <c r="J114" s="99"/>
      <c r="K114" s="99" t="s">
        <v>97</v>
      </c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7508</v>
      </c>
      <c r="E116" s="106"/>
      <c r="F116" s="34">
        <f>SUM(F112:F115)</f>
        <v>48.699999999999996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263</v>
      </c>
      <c r="E119" s="95" t="s">
        <v>19</v>
      </c>
      <c r="F119" s="135">
        <v>19.66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265</v>
      </c>
      <c r="E120" s="106"/>
      <c r="F120" s="54">
        <f>SUM(F118:F119)</f>
        <v>22.66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21</v>
      </c>
      <c r="E121" s="95" t="s">
        <v>19</v>
      </c>
      <c r="F121" s="135">
        <v>10.5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21</v>
      </c>
      <c r="E122" s="95" t="s">
        <v>19</v>
      </c>
      <c r="F122" s="135">
        <v>6.3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21</v>
      </c>
      <c r="E123" s="106"/>
      <c r="F123" s="54">
        <f>SUM(F121:F122)</f>
        <v>16.8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241</v>
      </c>
      <c r="E124" s="95" t="s">
        <v>19</v>
      </c>
      <c r="F124" s="135">
        <v>24.1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241</v>
      </c>
      <c r="E125" s="95" t="s">
        <v>19</v>
      </c>
      <c r="F125" s="135">
        <v>28.919999999999998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241</v>
      </c>
      <c r="E126" s="106"/>
      <c r="F126" s="54">
        <f>SUM(F124:F125)</f>
        <v>53.019999999999996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1430</v>
      </c>
      <c r="E133" s="95" t="s">
        <v>21</v>
      </c>
      <c r="F133" s="135">
        <v>42.9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1430</v>
      </c>
      <c r="E134" s="106"/>
      <c r="F134" s="54">
        <f>F133+F132</f>
        <v>42.9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13</v>
      </c>
      <c r="E136" s="95" t="s">
        <v>19</v>
      </c>
      <c r="F136" s="135">
        <v>22.7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22</v>
      </c>
      <c r="E137" s="95" t="s">
        <v>19</v>
      </c>
      <c r="F137" s="135">
        <v>423.5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22</v>
      </c>
      <c r="E138" s="95" t="s">
        <v>19</v>
      </c>
      <c r="F138" s="135">
        <v>22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57</v>
      </c>
      <c r="E139" s="106"/>
      <c r="F139" s="54">
        <f>SUM(F136:F138)</f>
        <v>468.2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2408361</v>
      </c>
      <c r="E140" s="146"/>
      <c r="F140" s="148">
        <f>F10+F64+F68+F82+F90+F95+F98+F101+F103+F110+F116+F120+F123+F126+F130+F134+F139</f>
        <v>4639.3846678231002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14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1037</v>
      </c>
      <c r="E17" s="95" t="s">
        <v>19</v>
      </c>
      <c r="F17" s="114">
        <f>1037*775/100000</f>
        <v>8.0367499999999996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1037</v>
      </c>
      <c r="E18" s="95" t="s">
        <v>19</v>
      </c>
      <c r="F18" s="33">
        <f>1037*11220/100000</f>
        <v>116.3514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1037</v>
      </c>
      <c r="E19" s="95" t="s">
        <v>19</v>
      </c>
      <c r="F19" s="33">
        <f>1037*500/100000</f>
        <v>5.1849999999999996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1037</v>
      </c>
      <c r="E24" s="95"/>
      <c r="F24" s="34">
        <f>SUM(F13:F23)</f>
        <v>129.57315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1000</v>
      </c>
      <c r="E30" s="95" t="s">
        <v>19</v>
      </c>
      <c r="F30" s="117">
        <v>7.75</v>
      </c>
      <c r="G30" s="106"/>
      <c r="H30" s="106"/>
      <c r="I30" s="106"/>
      <c r="J30" s="106"/>
      <c r="K30" s="106"/>
      <c r="L30" s="106"/>
      <c r="M30" s="115" t="s">
        <v>97</v>
      </c>
      <c r="N30" s="115" t="s">
        <v>97</v>
      </c>
      <c r="O30" s="115" t="s">
        <v>97</v>
      </c>
      <c r="P30" s="115" t="s">
        <v>97</v>
      </c>
      <c r="Q30" s="115" t="s">
        <v>97</v>
      </c>
      <c r="R30" s="115" t="s">
        <v>97</v>
      </c>
    </row>
    <row r="31" spans="1:18" ht="29.25" customHeight="1">
      <c r="A31" s="190"/>
      <c r="B31" s="111" t="s">
        <v>76</v>
      </c>
      <c r="C31" s="111" t="s">
        <v>42</v>
      </c>
      <c r="D31" s="65">
        <v>1000</v>
      </c>
      <c r="E31" s="95" t="s">
        <v>19</v>
      </c>
      <c r="F31" s="117">
        <v>112.2</v>
      </c>
      <c r="G31" s="106"/>
      <c r="H31" s="106"/>
      <c r="I31" s="106"/>
      <c r="J31" s="106"/>
      <c r="K31" s="106"/>
      <c r="L31" s="106"/>
      <c r="M31" s="115" t="s">
        <v>97</v>
      </c>
      <c r="N31" s="115" t="s">
        <v>97</v>
      </c>
      <c r="O31" s="115" t="s">
        <v>97</v>
      </c>
      <c r="P31" s="115" t="s">
        <v>97</v>
      </c>
      <c r="Q31" s="115" t="s">
        <v>97</v>
      </c>
      <c r="R31" s="115" t="s">
        <v>97</v>
      </c>
    </row>
    <row r="32" spans="1:18" ht="25.5" customHeight="1">
      <c r="A32" s="191"/>
      <c r="B32" s="111" t="s">
        <v>96</v>
      </c>
      <c r="C32" s="111" t="s">
        <v>42</v>
      </c>
      <c r="D32" s="65">
        <v>1000</v>
      </c>
      <c r="E32" s="95" t="s">
        <v>19</v>
      </c>
      <c r="F32" s="117">
        <v>5</v>
      </c>
      <c r="G32" s="106"/>
      <c r="H32" s="106"/>
      <c r="I32" s="106"/>
      <c r="J32" s="106"/>
      <c r="K32" s="106"/>
      <c r="L32" s="106"/>
      <c r="M32" s="115" t="s">
        <v>97</v>
      </c>
      <c r="N32" s="115" t="s">
        <v>97</v>
      </c>
      <c r="O32" s="115" t="s">
        <v>97</v>
      </c>
      <c r="P32" s="115" t="s">
        <v>97</v>
      </c>
      <c r="Q32" s="115" t="s">
        <v>97</v>
      </c>
      <c r="R32" s="115" t="s">
        <v>97</v>
      </c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0</v>
      </c>
      <c r="E34" s="95" t="s">
        <v>19</v>
      </c>
      <c r="F34" s="114"/>
      <c r="G34" s="106"/>
      <c r="H34" s="106"/>
      <c r="I34" s="106"/>
      <c r="J34" s="106"/>
      <c r="K34" s="106"/>
      <c r="L34" s="106"/>
      <c r="M34" s="115"/>
      <c r="N34" s="115"/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0</v>
      </c>
      <c r="E35" s="95" t="s">
        <v>19</v>
      </c>
      <c r="F35" s="33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65">
        <v>0</v>
      </c>
      <c r="E36" s="95" t="s">
        <v>19</v>
      </c>
      <c r="F36" s="33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1000</v>
      </c>
      <c r="E37" s="95"/>
      <c r="F37" s="34">
        <f>SUM(F26:F36)</f>
        <v>124.95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757</v>
      </c>
      <c r="E43" s="95" t="s">
        <v>19</v>
      </c>
      <c r="F43" s="117">
        <v>0.5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757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757</v>
      </c>
      <c r="E45" s="95" t="s">
        <v>19</v>
      </c>
      <c r="F45" s="117">
        <v>3.78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974</v>
      </c>
      <c r="E47" s="95" t="s">
        <v>19</v>
      </c>
      <c r="F47" s="117">
        <v>0.36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974</v>
      </c>
      <c r="E48" s="95" t="s">
        <v>19</v>
      </c>
      <c r="F48" s="117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974</v>
      </c>
      <c r="E49" s="95" t="s">
        <v>19</v>
      </c>
      <c r="F49" s="117">
        <v>4.87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1731</v>
      </c>
      <c r="E50" s="95"/>
      <c r="F50" s="34">
        <f>SUM(F39:F49)</f>
        <v>9.51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3768</v>
      </c>
      <c r="E64" s="106"/>
      <c r="F64" s="120">
        <f>+F63+F50+F37+F24</f>
        <v>264.03314999999998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12041</v>
      </c>
      <c r="E66" s="121" t="s">
        <v>19</v>
      </c>
      <c r="F66" s="33">
        <f>D66*0.0003</f>
        <v>3.6122999999999998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12041</v>
      </c>
      <c r="E67" s="95" t="s">
        <v>78</v>
      </c>
      <c r="F67" s="33">
        <f>D67*0.0003</f>
        <v>3.6122999999999998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12041</v>
      </c>
      <c r="E68" s="106"/>
      <c r="F68" s="34">
        <f>SUM(F66:F67)</f>
        <v>7.2245999999999997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31024</v>
      </c>
      <c r="E69" s="204" t="s">
        <v>17</v>
      </c>
      <c r="F69" s="63">
        <v>46.53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31502</v>
      </c>
      <c r="E70" s="205"/>
      <c r="F70" s="56">
        <v>47.25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36071</v>
      </c>
      <c r="E71" s="205"/>
      <c r="F71" s="56">
        <v>54.11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37434</v>
      </c>
      <c r="E72" s="205"/>
      <c r="F72" s="56">
        <v>56.15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35863</v>
      </c>
      <c r="E73" s="206"/>
      <c r="F73" s="56">
        <v>53.8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171894</v>
      </c>
      <c r="E74" s="95"/>
      <c r="F74" s="54">
        <f>F69+F70+F71+F72+F73</f>
        <v>257.83999999999997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26616</v>
      </c>
      <c r="E75" s="204" t="s">
        <v>17</v>
      </c>
      <c r="F75" s="54">
        <v>66.540000000000006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28323</v>
      </c>
      <c r="E76" s="205"/>
      <c r="F76" s="54">
        <v>70.81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22525</v>
      </c>
      <c r="E77" s="206"/>
      <c r="F77" s="55">
        <v>56.65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77464</v>
      </c>
      <c r="E78" s="95"/>
      <c r="F78" s="36">
        <f>F75+F76+F77</f>
        <v>194.00000000000003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120</v>
      </c>
      <c r="E79" s="95" t="s">
        <v>19</v>
      </c>
      <c r="F79" s="33">
        <v>0.3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470</v>
      </c>
      <c r="E80" s="95" t="s">
        <v>19</v>
      </c>
      <c r="F80" s="33">
        <v>0.83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590</v>
      </c>
      <c r="E81" s="106"/>
      <c r="F81" s="120">
        <f>F80+F79</f>
        <v>1.1299999999999999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249948</v>
      </c>
      <c r="E82" s="106"/>
      <c r="F82" s="120">
        <f>F81+F78+F74</f>
        <v>452.97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249358</v>
      </c>
      <c r="E85" s="172"/>
      <c r="F85" s="33">
        <v>62.33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6147</v>
      </c>
      <c r="E86" s="172"/>
      <c r="F86" s="33">
        <v>0.93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1620</v>
      </c>
      <c r="E87" s="172"/>
      <c r="F87" s="33">
        <v>0.24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1620</v>
      </c>
      <c r="E88" s="172"/>
      <c r="F88" s="33">
        <v>12.15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483</v>
      </c>
      <c r="E89" s="173"/>
      <c r="F89" s="33">
        <v>4.83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259228</v>
      </c>
      <c r="E90" s="106"/>
      <c r="F90" s="34">
        <f>SUM(F84:F89)</f>
        <v>80.48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29509</v>
      </c>
      <c r="E91" s="193" t="s">
        <v>35</v>
      </c>
      <c r="F91" s="117">
        <v>118.036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12128</v>
      </c>
      <c r="E92" s="193"/>
      <c r="F92" s="117">
        <v>48.512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2318</v>
      </c>
      <c r="E93" s="193"/>
      <c r="F93" s="117">
        <v>9.2720000000000002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46563</v>
      </c>
      <c r="E94" s="193"/>
      <c r="F94" s="117">
        <v>186.25200000000001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90518</v>
      </c>
      <c r="E95" s="106"/>
      <c r="F95" s="34">
        <f>SUM(F91:F94)</f>
        <v>362.072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1137</v>
      </c>
      <c r="E99" s="174" t="s">
        <v>19</v>
      </c>
      <c r="F99" s="33">
        <v>56.85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483</v>
      </c>
      <c r="E100" s="174"/>
      <c r="F100" s="33">
        <v>33.81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1620</v>
      </c>
      <c r="E101" s="106"/>
      <c r="F101" s="34">
        <f>SUM(F99:F100)</f>
        <v>90.66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1620</v>
      </c>
      <c r="E102" s="95" t="s">
        <v>19</v>
      </c>
      <c r="F102" s="33">
        <v>7.2599353653492873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1620</v>
      </c>
      <c r="E103" s="106"/>
      <c r="F103" s="34">
        <f>F102</f>
        <v>7.2599353653492873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1397</v>
      </c>
      <c r="E112" s="95" t="s">
        <v>19</v>
      </c>
      <c r="F112" s="135">
        <v>1.39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1620</v>
      </c>
      <c r="E113" s="95" t="s">
        <v>21</v>
      </c>
      <c r="F113" s="135">
        <v>2.4300000000000002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9</v>
      </c>
      <c r="E114" s="95" t="s">
        <v>21</v>
      </c>
      <c r="F114" s="135">
        <v>16.2</v>
      </c>
      <c r="G114" s="99"/>
      <c r="H114" s="99"/>
      <c r="I114" s="99"/>
      <c r="J114" s="99"/>
      <c r="K114" s="99" t="s">
        <v>97</v>
      </c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3028</v>
      </c>
      <c r="E116" s="106"/>
      <c r="F116" s="34">
        <f>SUM(F112:F115)</f>
        <v>21.27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100</v>
      </c>
      <c r="E119" s="95" t="s">
        <v>19</v>
      </c>
      <c r="F119" s="135">
        <v>7.7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102</v>
      </c>
      <c r="E120" s="106"/>
      <c r="F120" s="54">
        <f>SUM(F118:F119)</f>
        <v>10.7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9</v>
      </c>
      <c r="E121" s="95" t="s">
        <v>19</v>
      </c>
      <c r="F121" s="135">
        <v>4.5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9</v>
      </c>
      <c r="E122" s="95" t="s">
        <v>19</v>
      </c>
      <c r="F122" s="135">
        <v>2.7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9</v>
      </c>
      <c r="E123" s="106"/>
      <c r="F123" s="54">
        <f>SUM(F121:F122)</f>
        <v>7.2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90</v>
      </c>
      <c r="E124" s="95" t="s">
        <v>19</v>
      </c>
      <c r="F124" s="135">
        <v>9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90</v>
      </c>
      <c r="E125" s="95" t="s">
        <v>19</v>
      </c>
      <c r="F125" s="135">
        <v>10.799999999999999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90</v>
      </c>
      <c r="E126" s="106"/>
      <c r="F126" s="54">
        <f>SUM(F124:F125)</f>
        <v>19.799999999999997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98"/>
      <c r="H132" s="98"/>
      <c r="I132" s="98"/>
      <c r="J132" s="98"/>
      <c r="K132" s="98"/>
      <c r="L132" s="98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415</v>
      </c>
      <c r="E133" s="95" t="s">
        <v>21</v>
      </c>
      <c r="F133" s="135">
        <v>12.45</v>
      </c>
      <c r="G133" s="98"/>
      <c r="H133" s="98"/>
      <c r="I133" s="98"/>
      <c r="J133" s="98"/>
      <c r="K133" s="98"/>
      <c r="L133" s="98"/>
      <c r="M133" s="159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415</v>
      </c>
      <c r="E134" s="106"/>
      <c r="F134" s="54">
        <f>F133+F132</f>
        <v>12.45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8</v>
      </c>
      <c r="E136" s="95" t="s">
        <v>19</v>
      </c>
      <c r="F136" s="135">
        <v>6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8</v>
      </c>
      <c r="E137" s="95" t="s">
        <v>19</v>
      </c>
      <c r="F137" s="135">
        <v>154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8</v>
      </c>
      <c r="E138" s="95" t="s">
        <v>19</v>
      </c>
      <c r="F138" s="135">
        <v>8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24</v>
      </c>
      <c r="E139" s="106"/>
      <c r="F139" s="54">
        <f>SUM(F136:F138)</f>
        <v>168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622412</v>
      </c>
      <c r="E140" s="146"/>
      <c r="F140" s="148">
        <f>F10+F64+F68+F82+F90+F95+F98+F101+F103+F110+F116+F120+F123+F126+F130+F134+F139</f>
        <v>1518.6196853653496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B69:B73"/>
    <mergeCell ref="E69:E73"/>
    <mergeCell ref="G69:K73"/>
    <mergeCell ref="P69:R69"/>
    <mergeCell ref="P70:R70"/>
    <mergeCell ref="P71:R71"/>
    <mergeCell ref="P72:R72"/>
    <mergeCell ref="P73:R73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3"/>
    <mergeCell ref="A38:A41"/>
    <mergeCell ref="A42:A45"/>
    <mergeCell ref="A46:A49"/>
    <mergeCell ref="A50:B50"/>
    <mergeCell ref="A51:A54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P80:R80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6" right="0.16" top="0.31" bottom="0.25" header="0.31496062992126" footer="0.16"/>
  <pageSetup paperSize="9" scale="80" orientation="landscape" horizontalDpi="300" verticalDpi="300" r:id="rId1"/>
  <rowBreaks count="2" manualBreakCount="2">
    <brk id="30" max="17" man="1"/>
    <brk id="7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zoomScale="70" zoomScaleNormal="70" zoomScaleSheetLayoutView="100" workbookViewId="0">
      <pane xSplit="2" ySplit="5" topLeftCell="C10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0</v>
      </c>
      <c r="E17" s="95" t="s">
        <v>19</v>
      </c>
      <c r="F17" s="114"/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0</v>
      </c>
      <c r="E18" s="95" t="s">
        <v>19</v>
      </c>
      <c r="F18" s="33"/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0</v>
      </c>
      <c r="E19" s="95" t="s">
        <v>19</v>
      </c>
      <c r="F19" s="33"/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42" customHeight="1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500</v>
      </c>
      <c r="E21" s="95" t="s">
        <v>19</v>
      </c>
      <c r="F21" s="114">
        <v>2.87</v>
      </c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500</v>
      </c>
      <c r="E22" s="95" t="s">
        <v>19</v>
      </c>
      <c r="F22" s="33">
        <v>37.4</v>
      </c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500</v>
      </c>
      <c r="E23" s="95" t="s">
        <v>19</v>
      </c>
      <c r="F23" s="33">
        <v>2.5</v>
      </c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500</v>
      </c>
      <c r="E24" s="95"/>
      <c r="F24" s="34">
        <f>SUM(F13:F23)</f>
        <v>42.769999999999996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1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100</v>
      </c>
      <c r="E34" s="95" t="s">
        <v>19</v>
      </c>
      <c r="F34" s="114">
        <v>0.56999999999999995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100</v>
      </c>
      <c r="E35" s="95" t="s">
        <v>19</v>
      </c>
      <c r="F35" s="33">
        <v>7.48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100</v>
      </c>
      <c r="E36" s="95" t="s">
        <v>19</v>
      </c>
      <c r="F36" s="33">
        <v>0.5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100</v>
      </c>
      <c r="E37" s="95"/>
      <c r="F37" s="34">
        <f>SUM(F26:F36)</f>
        <v>8.5500000000000007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/>
      <c r="E43" s="95" t="s">
        <v>19</v>
      </c>
      <c r="F43" s="11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/>
      <c r="E45" s="95" t="s">
        <v>19</v>
      </c>
      <c r="F45" s="11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0</v>
      </c>
      <c r="E47" s="95" t="s">
        <v>19</v>
      </c>
      <c r="F47" s="34">
        <v>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0</v>
      </c>
      <c r="E49" s="95" t="s">
        <v>19</v>
      </c>
      <c r="F49" s="34">
        <v>0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0</v>
      </c>
      <c r="E50" s="95"/>
      <c r="F50" s="34">
        <f>SUM(F39:F49)</f>
        <v>0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 ht="36.75" customHeight="1">
      <c r="A56" s="190"/>
      <c r="B56" s="111" t="s">
        <v>75</v>
      </c>
      <c r="C56" s="111" t="s">
        <v>42</v>
      </c>
      <c r="D56" s="65">
        <v>2286</v>
      </c>
      <c r="E56" s="95" t="s">
        <v>19</v>
      </c>
      <c r="F56" s="34">
        <v>1.53</v>
      </c>
      <c r="G56" s="99"/>
      <c r="H56" s="99"/>
      <c r="I56" s="99"/>
      <c r="J56" s="99"/>
      <c r="K56" s="99"/>
      <c r="L56" s="99"/>
      <c r="M56" s="115" t="s">
        <v>97</v>
      </c>
      <c r="N56" s="115" t="s">
        <v>97</v>
      </c>
      <c r="O56" s="115" t="s">
        <v>97</v>
      </c>
      <c r="P56" s="115" t="s">
        <v>97</v>
      </c>
      <c r="Q56" s="115" t="s">
        <v>97</v>
      </c>
      <c r="R56" s="115" t="s">
        <v>97</v>
      </c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2286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2286</v>
      </c>
      <c r="E58" s="95" t="s">
        <v>19</v>
      </c>
      <c r="F58" s="34">
        <v>11.43</v>
      </c>
      <c r="G58" s="99"/>
      <c r="H58" s="99"/>
      <c r="I58" s="99"/>
      <c r="J58" s="99"/>
      <c r="K58" s="99"/>
      <c r="L58" s="99"/>
      <c r="M58" s="115" t="s">
        <v>97</v>
      </c>
      <c r="N58" s="115" t="s">
        <v>97</v>
      </c>
      <c r="O58" s="115" t="s">
        <v>97</v>
      </c>
      <c r="P58" s="115" t="s">
        <v>97</v>
      </c>
      <c r="Q58" s="115" t="s">
        <v>97</v>
      </c>
      <c r="R58" s="115" t="s">
        <v>97</v>
      </c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386</v>
      </c>
      <c r="E60" s="95" t="s">
        <v>19</v>
      </c>
      <c r="F60" s="34">
        <v>0.25</v>
      </c>
      <c r="G60" s="99"/>
      <c r="H60" s="99"/>
      <c r="I60" s="99"/>
      <c r="J60" s="99"/>
      <c r="K60" s="99"/>
      <c r="L60" s="99"/>
      <c r="M60" s="115" t="s">
        <v>97</v>
      </c>
      <c r="N60" s="115" t="s">
        <v>97</v>
      </c>
      <c r="O60" s="115" t="s">
        <v>97</v>
      </c>
      <c r="P60" s="115" t="s">
        <v>97</v>
      </c>
      <c r="Q60" s="115" t="s">
        <v>97</v>
      </c>
      <c r="R60" s="115" t="s">
        <v>97</v>
      </c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386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386</v>
      </c>
      <c r="E62" s="95" t="s">
        <v>19</v>
      </c>
      <c r="F62" s="34">
        <v>1.93</v>
      </c>
      <c r="G62" s="99"/>
      <c r="H62" s="99"/>
      <c r="I62" s="99"/>
      <c r="J62" s="99"/>
      <c r="K62" s="99"/>
      <c r="L62" s="99"/>
      <c r="M62" s="115" t="s">
        <v>97</v>
      </c>
      <c r="N62" s="115" t="s">
        <v>97</v>
      </c>
      <c r="O62" s="115" t="s">
        <v>97</v>
      </c>
      <c r="P62" s="115" t="s">
        <v>97</v>
      </c>
      <c r="Q62" s="115" t="s">
        <v>97</v>
      </c>
      <c r="R62" s="115" t="s">
        <v>97</v>
      </c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2672</v>
      </c>
      <c r="E63" s="95"/>
      <c r="F63" s="34">
        <f>SUM(F52:F62)</f>
        <v>15.139999999999999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3272</v>
      </c>
      <c r="E64" s="106"/>
      <c r="F64" s="120">
        <f>+F63+F50+F37+F24</f>
        <v>66.459999999999994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34417</v>
      </c>
      <c r="E66" s="121" t="s">
        <v>19</v>
      </c>
      <c r="F66" s="33">
        <f>D66*0.0003</f>
        <v>10.325099999999999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34417</v>
      </c>
      <c r="E67" s="95" t="s">
        <v>78</v>
      </c>
      <c r="F67" s="33">
        <f>D67*0.0003</f>
        <v>10.325099999999999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34417</v>
      </c>
      <c r="E68" s="106"/>
      <c r="F68" s="34">
        <f>SUM(F66:F67)</f>
        <v>20.650199999999998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113319</v>
      </c>
      <c r="E69" s="204" t="s">
        <v>17</v>
      </c>
      <c r="F69" s="63">
        <v>169.98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118180</v>
      </c>
      <c r="E70" s="205"/>
      <c r="F70" s="56">
        <v>177.27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126253</v>
      </c>
      <c r="E71" s="205"/>
      <c r="F71" s="56">
        <v>189.38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122314</v>
      </c>
      <c r="E72" s="205"/>
      <c r="F72" s="56">
        <v>183.47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119132</v>
      </c>
      <c r="E73" s="206"/>
      <c r="F73" s="56">
        <v>178.7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599198</v>
      </c>
      <c r="E74" s="95"/>
      <c r="F74" s="54">
        <f>F69+F70+F71+F72+F73</f>
        <v>898.8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97106</v>
      </c>
      <c r="E75" s="204" t="s">
        <v>17</v>
      </c>
      <c r="F75" s="54">
        <v>242.76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91560</v>
      </c>
      <c r="E76" s="205"/>
      <c r="F76" s="54">
        <v>228.9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74712</v>
      </c>
      <c r="E77" s="206"/>
      <c r="F77" s="55">
        <v>186.98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263378</v>
      </c>
      <c r="E78" s="95"/>
      <c r="F78" s="36">
        <f>F75+F76+F77</f>
        <v>658.64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254</v>
      </c>
      <c r="E79" s="95" t="s">
        <v>19</v>
      </c>
      <c r="F79" s="33">
        <v>0.44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254</v>
      </c>
      <c r="E81" s="106"/>
      <c r="F81" s="120">
        <f>F80+F79</f>
        <v>0.44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862830</v>
      </c>
      <c r="E82" s="106"/>
      <c r="F82" s="120">
        <f>F81+F78+F74</f>
        <v>1557.88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862576</v>
      </c>
      <c r="E85" s="172"/>
      <c r="F85" s="33">
        <v>215.64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18732</v>
      </c>
      <c r="E86" s="172"/>
      <c r="F86" s="33">
        <v>2.81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4565</v>
      </c>
      <c r="E87" s="172"/>
      <c r="F87" s="33">
        <v>0.68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4565</v>
      </c>
      <c r="E88" s="172"/>
      <c r="F88" s="33">
        <v>34.24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1440</v>
      </c>
      <c r="E89" s="173"/>
      <c r="F89" s="33">
        <v>14.4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891878</v>
      </c>
      <c r="E90" s="106"/>
      <c r="F90" s="34">
        <f>SUM(F84:F89)</f>
        <v>267.77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111330</v>
      </c>
      <c r="E91" s="193" t="s">
        <v>35</v>
      </c>
      <c r="F91" s="117">
        <v>445.32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49628</v>
      </c>
      <c r="E92" s="193"/>
      <c r="F92" s="117">
        <v>198.512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668</v>
      </c>
      <c r="E93" s="193"/>
      <c r="F93" s="117">
        <v>2.6720000000000002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156026</v>
      </c>
      <c r="E94" s="193"/>
      <c r="F94" s="117">
        <v>624.10400000000004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317652</v>
      </c>
      <c r="E95" s="106"/>
      <c r="F95" s="34">
        <f>SUM(F91:F94)</f>
        <v>1270.6080000000002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3125</v>
      </c>
      <c r="E99" s="174" t="s">
        <v>19</v>
      </c>
      <c r="F99" s="33">
        <v>156.25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1440</v>
      </c>
      <c r="E100" s="174"/>
      <c r="F100" s="33">
        <v>100.80000000000001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4565</v>
      </c>
      <c r="E101" s="106"/>
      <c r="F101" s="34">
        <f>SUM(F99:F100)</f>
        <v>257.05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4565</v>
      </c>
      <c r="E102" s="95" t="s">
        <v>19</v>
      </c>
      <c r="F102" s="33">
        <v>20.457780828900923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4565</v>
      </c>
      <c r="E103" s="106"/>
      <c r="F103" s="34">
        <f>F102</f>
        <v>20.457780828900923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3447</v>
      </c>
      <c r="E112" s="95" t="s">
        <v>19</v>
      </c>
      <c r="F112" s="135">
        <v>3.44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4565</v>
      </c>
      <c r="E113" s="95" t="s">
        <v>21</v>
      </c>
      <c r="F113" s="135">
        <v>6.84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16</v>
      </c>
      <c r="E114" s="95" t="s">
        <v>21</v>
      </c>
      <c r="F114" s="135">
        <v>28.8</v>
      </c>
      <c r="G114" s="99"/>
      <c r="H114" s="99"/>
      <c r="I114" s="99"/>
      <c r="J114" s="99"/>
      <c r="K114" s="99" t="s">
        <v>97</v>
      </c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8030</v>
      </c>
      <c r="E116" s="106"/>
      <c r="F116" s="34">
        <f>SUM(F112:F115)</f>
        <v>40.33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270</v>
      </c>
      <c r="E119" s="95" t="s">
        <v>19</v>
      </c>
      <c r="F119" s="135">
        <v>19.13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272</v>
      </c>
      <c r="E120" s="106"/>
      <c r="F120" s="54">
        <f>SUM(F118:F119)</f>
        <v>22.13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16</v>
      </c>
      <c r="E121" s="95" t="s">
        <v>19</v>
      </c>
      <c r="F121" s="135">
        <v>8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16</v>
      </c>
      <c r="E122" s="95" t="s">
        <v>19</v>
      </c>
      <c r="F122" s="135">
        <v>4.8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16</v>
      </c>
      <c r="E123" s="106"/>
      <c r="F123" s="54">
        <f>SUM(F121:F122)</f>
        <v>12.8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253</v>
      </c>
      <c r="E124" s="95" t="s">
        <v>19</v>
      </c>
      <c r="F124" s="135">
        <v>25.3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253</v>
      </c>
      <c r="E125" s="95" t="s">
        <v>19</v>
      </c>
      <c r="F125" s="135">
        <v>30.36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253</v>
      </c>
      <c r="E126" s="106"/>
      <c r="F126" s="54">
        <f>SUM(F124:F125)</f>
        <v>55.66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1142</v>
      </c>
      <c r="E133" s="95" t="s">
        <v>21</v>
      </c>
      <c r="F133" s="135">
        <v>34.26</v>
      </c>
      <c r="G133" s="98"/>
      <c r="H133" s="98"/>
      <c r="I133" s="98"/>
      <c r="J133" s="98"/>
      <c r="K133" s="98"/>
      <c r="L133" s="98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1142</v>
      </c>
      <c r="E134" s="106"/>
      <c r="F134" s="54">
        <f>F133+F132</f>
        <v>34.26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8</v>
      </c>
      <c r="E136" s="95" t="s">
        <v>19</v>
      </c>
      <c r="F136" s="135">
        <v>80.349999999999994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16</v>
      </c>
      <c r="E137" s="95" t="s">
        <v>19</v>
      </c>
      <c r="F137" s="135">
        <v>308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16</v>
      </c>
      <c r="E138" s="95" t="s">
        <v>19</v>
      </c>
      <c r="F138" s="135">
        <v>16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40</v>
      </c>
      <c r="E139" s="106"/>
      <c r="F139" s="54">
        <f>SUM(F136:F138)</f>
        <v>404.35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2128933</v>
      </c>
      <c r="E140" s="146"/>
      <c r="F140" s="148">
        <f>F10+F64+F68+F82+F90+F95+F98+F101+F103+F110+F116+F120+F123+F126+F130+F134+F139</f>
        <v>4052.9059808289016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" right="0" top="0.24803149599999999" bottom="0.24803149599999999" header="0.31496062992126" footer="0.31496062992126"/>
  <pageSetup paperSize="9" scale="7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72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109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0</v>
      </c>
      <c r="E17" s="95" t="s">
        <v>19</v>
      </c>
      <c r="F17" s="114"/>
      <c r="G17" s="106"/>
      <c r="H17" s="106"/>
      <c r="I17" s="106"/>
      <c r="J17" s="106"/>
      <c r="K17" s="106"/>
      <c r="L17" s="106"/>
      <c r="M17" s="99"/>
      <c r="N17" s="99"/>
      <c r="O17" s="99"/>
      <c r="P17" s="99"/>
      <c r="Q17" s="99"/>
      <c r="R17" s="99"/>
    </row>
    <row r="18" spans="1:18">
      <c r="A18" s="190"/>
      <c r="B18" s="111" t="s">
        <v>76</v>
      </c>
      <c r="C18" s="111" t="s">
        <v>42</v>
      </c>
      <c r="D18" s="65">
        <v>0</v>
      </c>
      <c r="E18" s="95" t="s">
        <v>19</v>
      </c>
      <c r="F18" s="33"/>
      <c r="G18" s="106"/>
      <c r="H18" s="106"/>
      <c r="I18" s="106"/>
      <c r="J18" s="106"/>
      <c r="K18" s="106"/>
      <c r="L18" s="106"/>
      <c r="M18" s="99"/>
      <c r="N18" s="99"/>
      <c r="O18" s="99"/>
      <c r="P18" s="99"/>
      <c r="Q18" s="99"/>
      <c r="R18" s="99"/>
    </row>
    <row r="19" spans="1:18" ht="15" customHeight="1">
      <c r="A19" s="191"/>
      <c r="B19" s="111" t="s">
        <v>96</v>
      </c>
      <c r="C19" s="111" t="s">
        <v>42</v>
      </c>
      <c r="D19" s="65">
        <v>0</v>
      </c>
      <c r="E19" s="95" t="s">
        <v>19</v>
      </c>
      <c r="F19" s="33"/>
      <c r="G19" s="106"/>
      <c r="H19" s="106"/>
      <c r="I19" s="106"/>
      <c r="J19" s="106"/>
      <c r="K19" s="106"/>
      <c r="L19" s="106"/>
      <c r="M19" s="99"/>
      <c r="N19" s="99"/>
      <c r="O19" s="99"/>
      <c r="P19" s="99"/>
      <c r="Q19" s="99"/>
      <c r="R19" s="99"/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700</v>
      </c>
      <c r="E21" s="95" t="s">
        <v>19</v>
      </c>
      <c r="F21" s="114">
        <v>4.0199999999999996</v>
      </c>
      <c r="G21" s="106"/>
      <c r="H21" s="106"/>
      <c r="I21" s="106"/>
      <c r="J21" s="106"/>
      <c r="K21" s="106"/>
      <c r="L21" s="106"/>
      <c r="M21" s="115" t="s">
        <v>97</v>
      </c>
      <c r="N21" s="115" t="s">
        <v>97</v>
      </c>
      <c r="O21" s="115" t="s">
        <v>97</v>
      </c>
      <c r="P21" s="115" t="s">
        <v>97</v>
      </c>
      <c r="Q21" s="115" t="s">
        <v>97</v>
      </c>
      <c r="R21" s="115" t="s">
        <v>97</v>
      </c>
    </row>
    <row r="22" spans="1:18">
      <c r="A22" s="190"/>
      <c r="B22" s="111" t="s">
        <v>76</v>
      </c>
      <c r="C22" s="111" t="s">
        <v>42</v>
      </c>
      <c r="D22" s="65">
        <v>700</v>
      </c>
      <c r="E22" s="95" t="s">
        <v>19</v>
      </c>
      <c r="F22" s="33">
        <v>52.36</v>
      </c>
      <c r="G22" s="106"/>
      <c r="H22" s="106"/>
      <c r="I22" s="106"/>
      <c r="J22" s="106"/>
      <c r="K22" s="106"/>
      <c r="L22" s="106"/>
      <c r="M22" s="115" t="s">
        <v>97</v>
      </c>
      <c r="N22" s="115" t="s">
        <v>97</v>
      </c>
      <c r="O22" s="115" t="s">
        <v>97</v>
      </c>
      <c r="P22" s="115" t="s">
        <v>97</v>
      </c>
      <c r="Q22" s="115" t="s">
        <v>97</v>
      </c>
      <c r="R22" s="115" t="s">
        <v>97</v>
      </c>
    </row>
    <row r="23" spans="1:18" ht="15" customHeight="1">
      <c r="A23" s="191"/>
      <c r="B23" s="111" t="s">
        <v>96</v>
      </c>
      <c r="C23" s="111" t="s">
        <v>42</v>
      </c>
      <c r="D23" s="65">
        <v>700</v>
      </c>
      <c r="E23" s="95" t="s">
        <v>19</v>
      </c>
      <c r="F23" s="33">
        <v>3.5</v>
      </c>
      <c r="G23" s="106"/>
      <c r="H23" s="106"/>
      <c r="I23" s="106"/>
      <c r="J23" s="106"/>
      <c r="K23" s="106"/>
      <c r="L23" s="106"/>
      <c r="M23" s="115" t="s">
        <v>97</v>
      </c>
      <c r="N23" s="115" t="s">
        <v>97</v>
      </c>
      <c r="O23" s="115" t="s">
        <v>97</v>
      </c>
      <c r="P23" s="115" t="s">
        <v>97</v>
      </c>
      <c r="Q23" s="115" t="s">
        <v>97</v>
      </c>
      <c r="R23" s="115" t="s">
        <v>97</v>
      </c>
    </row>
    <row r="24" spans="1:18">
      <c r="A24" s="185" t="s">
        <v>158</v>
      </c>
      <c r="B24" s="187"/>
      <c r="C24" s="111"/>
      <c r="D24" s="94">
        <f>+D21+D17+D13</f>
        <v>700</v>
      </c>
      <c r="E24" s="95"/>
      <c r="F24" s="34">
        <f>SUM(F13:F23)</f>
        <v>59.879999999999995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11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3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3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700</v>
      </c>
      <c r="E34" s="95" t="s">
        <v>19</v>
      </c>
      <c r="F34" s="114">
        <v>4.0199999999999996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700</v>
      </c>
      <c r="E35" s="95" t="s">
        <v>19</v>
      </c>
      <c r="F35" s="33">
        <v>52.36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700</v>
      </c>
      <c r="E36" s="95" t="s">
        <v>19</v>
      </c>
      <c r="F36" s="33">
        <v>3.5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700</v>
      </c>
      <c r="E37" s="95"/>
      <c r="F37" s="34">
        <f>SUM(F26:F36)</f>
        <v>59.879999999999995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0</v>
      </c>
      <c r="E43" s="95" t="s">
        <v>19</v>
      </c>
      <c r="F43" s="11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0</v>
      </c>
      <c r="E45" s="95" t="s">
        <v>19</v>
      </c>
      <c r="F45" s="11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12"/>
      <c r="T45" s="112"/>
      <c r="U45" s="112"/>
    </row>
    <row r="46" spans="1:21" ht="25.5">
      <c r="A46" s="189">
        <v>2.09</v>
      </c>
      <c r="B46" s="113" t="s">
        <v>189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3560</v>
      </c>
      <c r="E47" s="95" t="s">
        <v>19</v>
      </c>
      <c r="F47" s="114">
        <f>D47*67/100000</f>
        <v>2.3852000000000002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/>
      <c r="E48" s="95" t="s">
        <v>19</v>
      </c>
      <c r="F48" s="11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3560</v>
      </c>
      <c r="E49" s="95" t="s">
        <v>19</v>
      </c>
      <c r="F49" s="114">
        <f>D49*500/100000</f>
        <v>17.8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3560</v>
      </c>
      <c r="E50" s="95"/>
      <c r="F50" s="34">
        <f>SUM(F39:F49)</f>
        <v>20.185200000000002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4960</v>
      </c>
      <c r="E64" s="106"/>
      <c r="F64" s="120">
        <f>+F63+F50+F37+F24</f>
        <v>139.9452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23832</v>
      </c>
      <c r="E66" s="121" t="s">
        <v>19</v>
      </c>
      <c r="F66" s="33">
        <f>D66*0.0003</f>
        <v>7.1495999999999995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23832</v>
      </c>
      <c r="E67" s="95" t="s">
        <v>78</v>
      </c>
      <c r="F67" s="33">
        <f>D67*0.0003</f>
        <v>7.1495999999999995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23832</v>
      </c>
      <c r="E68" s="106"/>
      <c r="F68" s="34">
        <f>SUM(F66:F67)</f>
        <v>14.299199999999999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72122</v>
      </c>
      <c r="E69" s="204" t="s">
        <v>17</v>
      </c>
      <c r="F69" s="63">
        <v>108.18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67980</v>
      </c>
      <c r="E70" s="205"/>
      <c r="F70" s="56">
        <v>101.97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70093</v>
      </c>
      <c r="E71" s="205"/>
      <c r="F71" s="56">
        <v>105.14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74555</v>
      </c>
      <c r="E72" s="205"/>
      <c r="F72" s="56">
        <v>111.83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71181</v>
      </c>
      <c r="E73" s="206"/>
      <c r="F73" s="56">
        <v>106.77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355931</v>
      </c>
      <c r="E74" s="95"/>
      <c r="F74" s="54">
        <f>F69+F70+F71+F72+F73</f>
        <v>533.89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55249</v>
      </c>
      <c r="E75" s="204" t="s">
        <v>17</v>
      </c>
      <c r="F75" s="54">
        <v>138.12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46972</v>
      </c>
      <c r="E76" s="205"/>
      <c r="F76" s="54">
        <v>117.44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41445</v>
      </c>
      <c r="E77" s="206"/>
      <c r="F77" s="55">
        <v>103.61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143666</v>
      </c>
      <c r="E78" s="95"/>
      <c r="F78" s="36">
        <f>F75+F76+F77</f>
        <v>359.17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499597</v>
      </c>
      <c r="E82" s="106"/>
      <c r="F82" s="120">
        <f>F81+F78+F74</f>
        <v>893.06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499597</v>
      </c>
      <c r="E85" s="172"/>
      <c r="F85" s="33">
        <v>124.9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12035</v>
      </c>
      <c r="E86" s="172"/>
      <c r="F86" s="33">
        <v>1.8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3083</v>
      </c>
      <c r="E87" s="172"/>
      <c r="F87" s="33">
        <v>0.46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3083</v>
      </c>
      <c r="E88" s="172"/>
      <c r="F88" s="33">
        <v>23.12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853</v>
      </c>
      <c r="E89" s="173"/>
      <c r="F89" s="33">
        <v>8.5299999999999994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518651</v>
      </c>
      <c r="E90" s="106"/>
      <c r="F90" s="34">
        <f>SUM(F84:F89)</f>
        <v>158.81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66829</v>
      </c>
      <c r="E91" s="193" t="s">
        <v>35</v>
      </c>
      <c r="F91" s="117">
        <v>267.31600000000003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38722</v>
      </c>
      <c r="E92" s="193"/>
      <c r="F92" s="117">
        <v>154.88800000000001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470</v>
      </c>
      <c r="E93" s="193"/>
      <c r="F93" s="117">
        <v>1.8800000000000001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78173</v>
      </c>
      <c r="E94" s="193"/>
      <c r="F94" s="117">
        <v>312.69200000000001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184194</v>
      </c>
      <c r="E95" s="106"/>
      <c r="F95" s="34">
        <f>SUM(F91:F94)</f>
        <v>736.77600000000007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2230</v>
      </c>
      <c r="E99" s="174" t="s">
        <v>19</v>
      </c>
      <c r="F99" s="33">
        <v>111.5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O99" s="99"/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853</v>
      </c>
      <c r="E100" s="174"/>
      <c r="F100" s="33">
        <v>59.710000000000008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O100" s="99"/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3083</v>
      </c>
      <c r="E101" s="106"/>
      <c r="F101" s="34">
        <f>SUM(F99:F100)</f>
        <v>171.21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3083</v>
      </c>
      <c r="E102" s="95" t="s">
        <v>19</v>
      </c>
      <c r="F102" s="33">
        <v>13.81628440208139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3083</v>
      </c>
      <c r="E103" s="106"/>
      <c r="F103" s="34">
        <f>F102</f>
        <v>13.81628440208139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2240</v>
      </c>
      <c r="E112" s="95" t="s">
        <v>19</v>
      </c>
      <c r="F112" s="135">
        <v>2.2400000000000002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3083</v>
      </c>
      <c r="E113" s="95" t="s">
        <v>21</v>
      </c>
      <c r="F113" s="135">
        <v>4.62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20</v>
      </c>
      <c r="E114" s="95" t="s">
        <v>21</v>
      </c>
      <c r="F114" s="135">
        <v>36</v>
      </c>
      <c r="G114" s="99"/>
      <c r="H114" s="99"/>
      <c r="I114" s="99"/>
      <c r="J114" s="99"/>
      <c r="K114" s="99" t="s">
        <v>97</v>
      </c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5345</v>
      </c>
      <c r="E116" s="106"/>
      <c r="F116" s="34">
        <f>SUM(F112:F115)</f>
        <v>44.11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208</v>
      </c>
      <c r="E119" s="95" t="s">
        <v>19</v>
      </c>
      <c r="F119" s="135">
        <v>15.97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210</v>
      </c>
      <c r="E120" s="106"/>
      <c r="F120" s="54">
        <f>SUM(F118:F119)</f>
        <v>18.97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20</v>
      </c>
      <c r="E121" s="95" t="s">
        <v>19</v>
      </c>
      <c r="F121" s="135">
        <v>10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20</v>
      </c>
      <c r="E122" s="95" t="s">
        <v>19</v>
      </c>
      <c r="F122" s="135">
        <v>6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20</v>
      </c>
      <c r="E123" s="106"/>
      <c r="F123" s="54">
        <f>SUM(F121:F122)</f>
        <v>16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187</v>
      </c>
      <c r="E124" s="95" t="s">
        <v>19</v>
      </c>
      <c r="F124" s="135">
        <v>18.7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187</v>
      </c>
      <c r="E125" s="95" t="s">
        <v>19</v>
      </c>
      <c r="F125" s="135">
        <v>22.439999999999998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187</v>
      </c>
      <c r="E126" s="106"/>
      <c r="F126" s="54">
        <f>SUM(F124:F125)</f>
        <v>41.14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985</v>
      </c>
      <c r="E133" s="95" t="s">
        <v>21</v>
      </c>
      <c r="F133" s="135">
        <v>29.55</v>
      </c>
      <c r="G133" s="98"/>
      <c r="H133" s="98"/>
      <c r="I133" s="98"/>
      <c r="J133" s="98"/>
      <c r="K133" s="98"/>
      <c r="L133" s="98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985</v>
      </c>
      <c r="E134" s="106"/>
      <c r="F134" s="54">
        <f>F133+F132</f>
        <v>29.55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11</v>
      </c>
      <c r="E136" s="95" t="s">
        <v>19</v>
      </c>
      <c r="F136" s="135">
        <v>39.9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20</v>
      </c>
      <c r="E137" s="95" t="s">
        <v>19</v>
      </c>
      <c r="F137" s="135">
        <v>385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20</v>
      </c>
      <c r="E138" s="95" t="s">
        <v>19</v>
      </c>
      <c r="F138" s="135">
        <v>20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51</v>
      </c>
      <c r="E139" s="106"/>
      <c r="F139" s="54">
        <f>SUM(F136:F138)</f>
        <v>444.9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1244199</v>
      </c>
      <c r="E140" s="146"/>
      <c r="F140" s="148">
        <f>F10+F64+F68+F82+F90+F95+F98+F101+F103+F110+F116+F120+F123+F126+F130+F134+F139</f>
        <v>2745.0866844020811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750</v>
      </c>
      <c r="E17" s="95" t="s">
        <v>19</v>
      </c>
      <c r="F17" s="114">
        <f>750*775/100000</f>
        <v>5.8125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750</v>
      </c>
      <c r="E18" s="95" t="s">
        <v>19</v>
      </c>
      <c r="F18" s="33">
        <f>750*11220/100000</f>
        <v>84.15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750</v>
      </c>
      <c r="E19" s="95" t="s">
        <v>19</v>
      </c>
      <c r="F19" s="33">
        <f>750*500/100000</f>
        <v>3.75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750</v>
      </c>
      <c r="E24" s="95"/>
      <c r="F24" s="34">
        <f>SUM(F13:F23)</f>
        <v>93.712500000000006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500</v>
      </c>
      <c r="E34" s="95" t="s">
        <v>19</v>
      </c>
      <c r="F34" s="114">
        <v>2.88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500</v>
      </c>
      <c r="E35" s="95" t="s">
        <v>19</v>
      </c>
      <c r="F35" s="33">
        <v>37.4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500</v>
      </c>
      <c r="E36" s="95" t="s">
        <v>19</v>
      </c>
      <c r="F36" s="33">
        <v>2.5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500</v>
      </c>
      <c r="E37" s="95"/>
      <c r="F37" s="34">
        <f>SUM(F26:F36)</f>
        <v>42.78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618</v>
      </c>
      <c r="E43" s="95" t="s">
        <v>19</v>
      </c>
      <c r="F43" s="117">
        <v>0.41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618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618</v>
      </c>
      <c r="E45" s="95" t="s">
        <v>19</v>
      </c>
      <c r="F45" s="117">
        <v>3.09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2327</v>
      </c>
      <c r="E47" s="95" t="s">
        <v>19</v>
      </c>
      <c r="F47" s="34">
        <v>1.56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2327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2327</v>
      </c>
      <c r="E49" s="95" t="s">
        <v>19</v>
      </c>
      <c r="F49" s="34">
        <v>11.64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2945</v>
      </c>
      <c r="E50" s="95"/>
      <c r="F50" s="34">
        <f>SUM(F39:F49)</f>
        <v>16.700000000000003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4195</v>
      </c>
      <c r="E64" s="106"/>
      <c r="F64" s="120">
        <f>+F63+F50+F37+F24</f>
        <v>153.1925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13898</v>
      </c>
      <c r="E66" s="121" t="s">
        <v>19</v>
      </c>
      <c r="F66" s="33">
        <f>D66*0.0003</f>
        <v>4.1693999999999996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13898</v>
      </c>
      <c r="E67" s="95" t="s">
        <v>78</v>
      </c>
      <c r="F67" s="33">
        <f>D67*0.0003</f>
        <v>4.1693999999999996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13898</v>
      </c>
      <c r="E68" s="106"/>
      <c r="F68" s="34">
        <f>SUM(F66:F67)</f>
        <v>8.3387999999999991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93448</v>
      </c>
      <c r="E69" s="204" t="s">
        <v>17</v>
      </c>
      <c r="F69" s="63">
        <v>140.16999999999999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65382</v>
      </c>
      <c r="E70" s="205"/>
      <c r="F70" s="56">
        <v>98.07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64700</v>
      </c>
      <c r="E71" s="205"/>
      <c r="F71" s="56">
        <v>97.05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65546</v>
      </c>
      <c r="E72" s="205"/>
      <c r="F72" s="56">
        <v>98.32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63210</v>
      </c>
      <c r="E73" s="206"/>
      <c r="F73" s="56">
        <v>94.81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352286</v>
      </c>
      <c r="E74" s="95"/>
      <c r="F74" s="54">
        <f>F69+F70+F71+F72+F73</f>
        <v>528.41999999999996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53600</v>
      </c>
      <c r="E75" s="204" t="s">
        <v>17</v>
      </c>
      <c r="F75" s="56">
        <v>134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41774</v>
      </c>
      <c r="E76" s="205"/>
      <c r="F76" s="56">
        <v>104.44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33090</v>
      </c>
      <c r="E77" s="206"/>
      <c r="F77" s="56">
        <v>82.73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128464</v>
      </c>
      <c r="E78" s="95"/>
      <c r="F78" s="36">
        <f>F75+F76+F77</f>
        <v>321.17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7.7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8.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480750</v>
      </c>
      <c r="E82" s="106"/>
      <c r="F82" s="120">
        <f>F81+F78+F74</f>
        <v>849.58999999999992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30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1.5" customHeight="1">
      <c r="A85" s="95"/>
      <c r="B85" s="116" t="s">
        <v>84</v>
      </c>
      <c r="C85" s="116" t="s">
        <v>42</v>
      </c>
      <c r="D85" s="66">
        <v>480750</v>
      </c>
      <c r="E85" s="172"/>
      <c r="F85" s="33">
        <v>120.18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7612</v>
      </c>
      <c r="E86" s="172"/>
      <c r="F86" s="33">
        <v>1.1399999999999999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2406</v>
      </c>
      <c r="E87" s="172"/>
      <c r="F87" s="33">
        <v>0.36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2406</v>
      </c>
      <c r="E88" s="172"/>
      <c r="F88" s="33">
        <v>18.05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705</v>
      </c>
      <c r="E89" s="173"/>
      <c r="F89" s="33">
        <v>7.05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493879</v>
      </c>
      <c r="E90" s="106"/>
      <c r="F90" s="34">
        <f>SUM(F84:F89)</f>
        <v>146.78000000000003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78484</v>
      </c>
      <c r="E91" s="193" t="s">
        <v>35</v>
      </c>
      <c r="F91" s="117">
        <v>313.93599999999998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37976</v>
      </c>
      <c r="E92" s="193"/>
      <c r="F92" s="117">
        <v>151.904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361</v>
      </c>
      <c r="E93" s="193"/>
      <c r="F93" s="117">
        <v>1.444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70099</v>
      </c>
      <c r="E94" s="193"/>
      <c r="F94" s="117">
        <v>280.39600000000002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186920</v>
      </c>
      <c r="E95" s="106"/>
      <c r="F95" s="34">
        <f>SUM(F91:F94)</f>
        <v>747.68000000000006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1701</v>
      </c>
      <c r="E99" s="174" t="s">
        <v>19</v>
      </c>
      <c r="F99" s="33">
        <v>85.050000000000011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705</v>
      </c>
      <c r="E100" s="174"/>
      <c r="F100" s="33">
        <v>49.35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2406</v>
      </c>
      <c r="E101" s="106"/>
      <c r="F101" s="34">
        <f>SUM(F99:F100)</f>
        <v>134.4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2406</v>
      </c>
      <c r="E102" s="95" t="s">
        <v>19</v>
      </c>
      <c r="F102" s="33">
        <v>10.782348450018755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2406</v>
      </c>
      <c r="E103" s="106"/>
      <c r="F103" s="34">
        <f>F102</f>
        <v>10.782348450018755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4.5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18.5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1976</v>
      </c>
      <c r="E112" s="95" t="s">
        <v>19</v>
      </c>
      <c r="F112" s="135">
        <v>1.97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2406</v>
      </c>
      <c r="E113" s="95" t="s">
        <v>21</v>
      </c>
      <c r="F113" s="135">
        <v>3.6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14</v>
      </c>
      <c r="E114" s="95" t="s">
        <v>21</v>
      </c>
      <c r="F114" s="135">
        <v>25.2</v>
      </c>
      <c r="G114" s="99"/>
      <c r="H114" s="99"/>
      <c r="I114" s="99"/>
      <c r="J114" s="99"/>
      <c r="K114" s="99"/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/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4398</v>
      </c>
      <c r="E116" s="106"/>
      <c r="F116" s="34">
        <f>SUM(F112:F115)</f>
        <v>32.019999999999996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147</v>
      </c>
      <c r="E119" s="95" t="s">
        <v>19</v>
      </c>
      <c r="F119" s="135">
        <v>11.47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149</v>
      </c>
      <c r="E120" s="106"/>
      <c r="F120" s="54">
        <f>SUM(F118:F119)</f>
        <v>14.47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14</v>
      </c>
      <c r="E121" s="95" t="s">
        <v>19</v>
      </c>
      <c r="F121" s="135">
        <v>7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14</v>
      </c>
      <c r="E122" s="95" t="s">
        <v>19</v>
      </c>
      <c r="F122" s="135">
        <v>4.2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14</v>
      </c>
      <c r="E123" s="106"/>
      <c r="F123" s="54">
        <f>SUM(F121:F122)</f>
        <v>11.2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132</v>
      </c>
      <c r="E124" s="95" t="s">
        <v>19</v>
      </c>
      <c r="F124" s="135">
        <v>13.200000000000001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132</v>
      </c>
      <c r="E125" s="95" t="s">
        <v>19</v>
      </c>
      <c r="F125" s="135">
        <v>15.84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132</v>
      </c>
      <c r="E126" s="106"/>
      <c r="F126" s="54">
        <f>SUM(F124:F125)</f>
        <v>29.04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890</v>
      </c>
      <c r="E133" s="95" t="s">
        <v>21</v>
      </c>
      <c r="F133" s="135">
        <v>26.7</v>
      </c>
      <c r="G133" s="98"/>
      <c r="H133" s="98"/>
      <c r="I133" s="98"/>
      <c r="J133" s="98"/>
      <c r="K133" s="98"/>
      <c r="L133" s="98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890</v>
      </c>
      <c r="E134" s="106"/>
      <c r="F134" s="54">
        <f>F133+F132</f>
        <v>26.7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7</v>
      </c>
      <c r="E136" s="95" t="s">
        <v>19</v>
      </c>
      <c r="F136" s="135">
        <v>35.5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14</v>
      </c>
      <c r="E137" s="95" t="s">
        <v>19</v>
      </c>
      <c r="F137" s="135">
        <v>269.5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14</v>
      </c>
      <c r="E138" s="95" t="s">
        <v>19</v>
      </c>
      <c r="F138" s="135">
        <v>14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35</v>
      </c>
      <c r="E139" s="106"/>
      <c r="F139" s="54">
        <f>SUM(F136:F138)</f>
        <v>319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1190073</v>
      </c>
      <c r="E140" s="146"/>
      <c r="F140" s="148">
        <f>F10+F64+F68+F82+F90+F95+F98+F101+F103+F110+F116+F120+F123+F126+F130+F134+F139</f>
        <v>2501.6936484500184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33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383</v>
      </c>
      <c r="E17" s="95" t="s">
        <v>19</v>
      </c>
      <c r="F17" s="114">
        <f>383*775/100000</f>
        <v>2.9682499999999998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383</v>
      </c>
      <c r="E18" s="95" t="s">
        <v>19</v>
      </c>
      <c r="F18" s="33">
        <f>383*11220/100000</f>
        <v>42.9726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383</v>
      </c>
      <c r="E19" s="95" t="s">
        <v>19</v>
      </c>
      <c r="F19" s="33">
        <f>383*500/100000</f>
        <v>1.915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2757</v>
      </c>
      <c r="E21" s="95" t="s">
        <v>19</v>
      </c>
      <c r="F21" s="33">
        <f>2757*575/100000</f>
        <v>15.85275</v>
      </c>
      <c r="G21" s="106"/>
      <c r="H21" s="106"/>
      <c r="I21" s="106"/>
      <c r="J21" s="106"/>
      <c r="K21" s="106"/>
      <c r="L21" s="106"/>
      <c r="M21" s="115" t="s">
        <v>97</v>
      </c>
      <c r="N21" s="115" t="s">
        <v>97</v>
      </c>
      <c r="O21" s="115" t="s">
        <v>97</v>
      </c>
      <c r="P21" s="115" t="s">
        <v>97</v>
      </c>
      <c r="Q21" s="115" t="s">
        <v>97</v>
      </c>
      <c r="R21" s="115" t="s">
        <v>97</v>
      </c>
    </row>
    <row r="22" spans="1:18">
      <c r="A22" s="190"/>
      <c r="B22" s="111" t="s">
        <v>76</v>
      </c>
      <c r="C22" s="111" t="s">
        <v>42</v>
      </c>
      <c r="D22" s="65">
        <v>2757</v>
      </c>
      <c r="E22" s="95" t="s">
        <v>19</v>
      </c>
      <c r="F22" s="33">
        <f>2757*7480/100000</f>
        <v>206.2236</v>
      </c>
      <c r="G22" s="106"/>
      <c r="H22" s="106"/>
      <c r="I22" s="106"/>
      <c r="J22" s="106"/>
      <c r="K22" s="106"/>
      <c r="L22" s="106"/>
      <c r="M22" s="115" t="s">
        <v>97</v>
      </c>
      <c r="N22" s="115" t="s">
        <v>97</v>
      </c>
      <c r="O22" s="115" t="s">
        <v>97</v>
      </c>
      <c r="P22" s="115" t="s">
        <v>97</v>
      </c>
      <c r="Q22" s="115" t="s">
        <v>97</v>
      </c>
      <c r="R22" s="115" t="s">
        <v>97</v>
      </c>
    </row>
    <row r="23" spans="1:18" ht="15" customHeight="1">
      <c r="A23" s="191"/>
      <c r="B23" s="111" t="s">
        <v>96</v>
      </c>
      <c r="C23" s="111" t="s">
        <v>42</v>
      </c>
      <c r="D23" s="65">
        <v>2757</v>
      </c>
      <c r="E23" s="95" t="s">
        <v>19</v>
      </c>
      <c r="F23" s="33">
        <f>2757*500/100000</f>
        <v>13.785</v>
      </c>
      <c r="G23" s="106"/>
      <c r="H23" s="106"/>
      <c r="I23" s="106"/>
      <c r="J23" s="106"/>
      <c r="K23" s="106"/>
      <c r="L23" s="106"/>
      <c r="M23" s="115" t="s">
        <v>97</v>
      </c>
      <c r="N23" s="115" t="s">
        <v>97</v>
      </c>
      <c r="O23" s="115" t="s">
        <v>97</v>
      </c>
      <c r="P23" s="115" t="s">
        <v>97</v>
      </c>
      <c r="Q23" s="115" t="s">
        <v>97</v>
      </c>
      <c r="R23" s="115" t="s">
        <v>97</v>
      </c>
    </row>
    <row r="24" spans="1:18">
      <c r="A24" s="185" t="s">
        <v>158</v>
      </c>
      <c r="B24" s="187"/>
      <c r="C24" s="111"/>
      <c r="D24" s="94">
        <f>+D21+D17+D13</f>
        <v>3140</v>
      </c>
      <c r="E24" s="95"/>
      <c r="F24" s="34">
        <f>SUM(F13:F23)</f>
        <v>283.71720000000005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200</v>
      </c>
      <c r="E34" s="95" t="s">
        <v>19</v>
      </c>
      <c r="F34" s="33">
        <f>200*575/100000</f>
        <v>1.1499999999999999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15" t="s">
        <v>97</v>
      </c>
      <c r="P34" s="115" t="s">
        <v>97</v>
      </c>
      <c r="Q34" s="115" t="s">
        <v>97</v>
      </c>
      <c r="R34" s="115" t="s">
        <v>97</v>
      </c>
    </row>
    <row r="35" spans="1:21" ht="25.5" customHeight="1">
      <c r="A35" s="190"/>
      <c r="B35" s="111" t="s">
        <v>76</v>
      </c>
      <c r="C35" s="111" t="s">
        <v>42</v>
      </c>
      <c r="D35" s="65">
        <v>200</v>
      </c>
      <c r="E35" s="95" t="s">
        <v>19</v>
      </c>
      <c r="F35" s="33">
        <f>200*7480/100000</f>
        <v>14.96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200</v>
      </c>
      <c r="E36" s="95" t="s">
        <v>19</v>
      </c>
      <c r="F36" s="33">
        <f>200*500/100000</f>
        <v>1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200</v>
      </c>
      <c r="E37" s="95"/>
      <c r="F37" s="34">
        <f>SUM(F26:F36)</f>
        <v>17.11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0</v>
      </c>
      <c r="E43" s="95" t="s">
        <v>19</v>
      </c>
      <c r="F43" s="114">
        <v>0</v>
      </c>
      <c r="G43" s="99"/>
      <c r="H43" s="99"/>
      <c r="I43" s="99"/>
      <c r="J43" s="99"/>
      <c r="K43" s="99"/>
      <c r="L43" s="99"/>
      <c r="M43" s="115"/>
      <c r="N43" s="115"/>
      <c r="O43" s="115"/>
      <c r="P43" s="115"/>
      <c r="Q43" s="115"/>
      <c r="R43" s="115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4">
        <v>0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0</v>
      </c>
      <c r="E45" s="95" t="s">
        <v>19</v>
      </c>
      <c r="F45" s="114">
        <v>0</v>
      </c>
      <c r="G45" s="99"/>
      <c r="H45" s="99"/>
      <c r="I45" s="99"/>
      <c r="J45" s="99"/>
      <c r="K45" s="99"/>
      <c r="L45" s="99"/>
      <c r="M45" s="115"/>
      <c r="N45" s="115"/>
      <c r="O45" s="115"/>
      <c r="P45" s="115"/>
      <c r="Q45" s="115"/>
      <c r="R45" s="115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8651</v>
      </c>
      <c r="E47" s="95" t="s">
        <v>19</v>
      </c>
      <c r="F47" s="114">
        <f>8651*67/100000</f>
        <v>5.79617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11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8651</v>
      </c>
      <c r="E49" s="95" t="s">
        <v>19</v>
      </c>
      <c r="F49" s="114">
        <f>8651*500/100000</f>
        <v>43.255000000000003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8651</v>
      </c>
      <c r="E50" s="95"/>
      <c r="F50" s="34">
        <f>SUM(F39:F49)</f>
        <v>49.051169999999999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/>
      <c r="E60" s="95" t="s">
        <v>19</v>
      </c>
      <c r="F60" s="114">
        <v>0</v>
      </c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/>
      <c r="E61" s="95" t="s">
        <v>19</v>
      </c>
      <c r="F61" s="114">
        <v>0</v>
      </c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/>
      <c r="E62" s="95" t="s">
        <v>19</v>
      </c>
      <c r="F62" s="114">
        <v>0</v>
      </c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11991</v>
      </c>
      <c r="E64" s="106"/>
      <c r="F64" s="120">
        <f>+F63+F50+F37+F24</f>
        <v>349.87837000000002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30920</v>
      </c>
      <c r="E66" s="121" t="s">
        <v>19</v>
      </c>
      <c r="F66" s="33">
        <f>D66*0.0003</f>
        <v>9.2759999999999998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30920</v>
      </c>
      <c r="E67" s="95" t="s">
        <v>78</v>
      </c>
      <c r="F67" s="33">
        <f>D67*0.0003</f>
        <v>9.2759999999999998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30920</v>
      </c>
      <c r="E68" s="106"/>
      <c r="F68" s="34">
        <f>SUM(F66:F67)</f>
        <v>18.552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92404</v>
      </c>
      <c r="E69" s="204" t="s">
        <v>17</v>
      </c>
      <c r="F69" s="63">
        <v>138.6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85496</v>
      </c>
      <c r="E70" s="205"/>
      <c r="F70" s="56">
        <v>128.24600000000001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96307</v>
      </c>
      <c r="E71" s="205"/>
      <c r="F71" s="56">
        <v>144.46299999999999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99084</v>
      </c>
      <c r="E72" s="205"/>
      <c r="F72" s="56">
        <v>148.62799999999999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94464</v>
      </c>
      <c r="E73" s="206"/>
      <c r="F73" s="56">
        <v>141.69800000000001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467755</v>
      </c>
      <c r="E74" s="95"/>
      <c r="F74" s="54">
        <f>F69+F70+F71+F72+F73</f>
        <v>701.63499999999988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75141</v>
      </c>
      <c r="E75" s="204" t="s">
        <v>17</v>
      </c>
      <c r="F75" s="54">
        <v>187.85300000000001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69186</v>
      </c>
      <c r="E76" s="205"/>
      <c r="F76" s="54">
        <v>172.96600000000001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61033</v>
      </c>
      <c r="E77" s="206"/>
      <c r="F77" s="158">
        <v>152.565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205360</v>
      </c>
      <c r="E78" s="95"/>
      <c r="F78" s="36">
        <f>F75+F76+F77</f>
        <v>513.38400000000001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" customHeight="1">
      <c r="A79" s="122"/>
      <c r="B79" s="123" t="s">
        <v>156</v>
      </c>
      <c r="C79" s="116" t="s">
        <v>37</v>
      </c>
      <c r="D79" s="66">
        <v>208</v>
      </c>
      <c r="E79" s="95" t="s">
        <v>19</v>
      </c>
      <c r="F79" s="33">
        <v>0.34499999999999997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33" customHeight="1">
      <c r="A80" s="95"/>
      <c r="B80" s="116" t="s">
        <v>157</v>
      </c>
      <c r="C80" s="116"/>
      <c r="D80" s="66">
        <v>815</v>
      </c>
      <c r="E80" s="95" t="s">
        <v>19</v>
      </c>
      <c r="F80" s="33">
        <v>1.4515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1023</v>
      </c>
      <c r="E81" s="106"/>
      <c r="F81" s="120">
        <f>F80+F79</f>
        <v>1.7965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674138</v>
      </c>
      <c r="E82" s="106"/>
      <c r="F82" s="120">
        <f>F81+F78+F74</f>
        <v>1216.8154999999999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" customHeight="1">
      <c r="A85" s="95"/>
      <c r="B85" s="116" t="s">
        <v>84</v>
      </c>
      <c r="C85" s="116" t="s">
        <v>42</v>
      </c>
      <c r="D85" s="66">
        <v>673115</v>
      </c>
      <c r="E85" s="172"/>
      <c r="F85" s="33">
        <v>168.27799999999999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15411</v>
      </c>
      <c r="E86" s="172"/>
      <c r="F86" s="33">
        <v>2.3109999999999999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4024</v>
      </c>
      <c r="E87" s="172"/>
      <c r="F87" s="33">
        <v>0.60360000000000003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4024</v>
      </c>
      <c r="E88" s="172"/>
      <c r="F88" s="33">
        <v>30.18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1028</v>
      </c>
      <c r="E89" s="173"/>
      <c r="F89" s="33">
        <v>10.28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697602</v>
      </c>
      <c r="E90" s="106"/>
      <c r="F90" s="34">
        <f>SUM(F84:F89)</f>
        <v>211.65260000000001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147731</v>
      </c>
      <c r="E91" s="193" t="s">
        <v>35</v>
      </c>
      <c r="F91" s="117">
        <v>590.92399999999998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41811</v>
      </c>
      <c r="E92" s="193"/>
      <c r="F92" s="117">
        <v>167.244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183</v>
      </c>
      <c r="E93" s="193"/>
      <c r="F93" s="117">
        <v>0.73199999999999998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142918</v>
      </c>
      <c r="E94" s="193"/>
      <c r="F94" s="117">
        <v>571.67200000000003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332643</v>
      </c>
      <c r="E95" s="106"/>
      <c r="F95" s="34">
        <f>SUM(F91:F94)</f>
        <v>1330.5720000000001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2996</v>
      </c>
      <c r="E99" s="174" t="s">
        <v>19</v>
      </c>
      <c r="F99" s="33">
        <v>149.80000000000001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1028</v>
      </c>
      <c r="E100" s="174"/>
      <c r="F100" s="33">
        <v>71.960000000000008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4024</v>
      </c>
      <c r="E101" s="106"/>
      <c r="F101" s="34">
        <f>SUM(F99:F100)</f>
        <v>221.76000000000002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4024</v>
      </c>
      <c r="E102" s="95" t="s">
        <v>19</v>
      </c>
      <c r="F102" s="33">
        <v>18.03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4024</v>
      </c>
      <c r="E103" s="106"/>
      <c r="F103" s="34">
        <f>F102</f>
        <v>18.03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1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3727</v>
      </c>
      <c r="E112" s="95" t="s">
        <v>19</v>
      </c>
      <c r="F112" s="135">
        <v>3.7269999999999999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4024</v>
      </c>
      <c r="E113" s="95" t="s">
        <v>21</v>
      </c>
      <c r="F113" s="135">
        <v>6.0359999999999996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23</v>
      </c>
      <c r="E114" s="95" t="s">
        <v>21</v>
      </c>
      <c r="F114" s="135">
        <v>41.4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7776</v>
      </c>
      <c r="E116" s="106"/>
      <c r="F116" s="34">
        <f>SUM(F112:F115)</f>
        <v>52.412999999999997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247</v>
      </c>
      <c r="E119" s="95" t="s">
        <v>19</v>
      </c>
      <c r="F119" s="135">
        <v>18.98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249</v>
      </c>
      <c r="E120" s="106"/>
      <c r="F120" s="54">
        <f>SUM(F118:F119)</f>
        <v>21.98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23</v>
      </c>
      <c r="E121" s="95" t="s">
        <v>19</v>
      </c>
      <c r="F121" s="135">
        <v>11.5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23</v>
      </c>
      <c r="E122" s="95" t="s">
        <v>19</v>
      </c>
      <c r="F122" s="135">
        <v>6.8999999999999995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23</v>
      </c>
      <c r="E123" s="106"/>
      <c r="F123" s="54">
        <f>SUM(F121:F122)</f>
        <v>18.399999999999999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223</v>
      </c>
      <c r="E124" s="95" t="s">
        <v>19</v>
      </c>
      <c r="F124" s="135">
        <v>22.3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223</v>
      </c>
      <c r="E125" s="95" t="s">
        <v>19</v>
      </c>
      <c r="F125" s="135">
        <v>26.759999999999998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223</v>
      </c>
      <c r="E126" s="106"/>
      <c r="F126" s="54">
        <f>SUM(F124:F125)</f>
        <v>49.06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33"/>
      <c r="N132" s="133"/>
      <c r="O132" s="133"/>
      <c r="P132" s="133"/>
      <c r="Q132" s="133"/>
      <c r="R132" s="133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1250</v>
      </c>
      <c r="E133" s="95" t="s">
        <v>21</v>
      </c>
      <c r="F133" s="135">
        <v>37.5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1250</v>
      </c>
      <c r="E134" s="106"/>
      <c r="F134" s="54">
        <f>F133+F132</f>
        <v>37.5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5</v>
      </c>
      <c r="E136" s="95" t="s">
        <v>19</v>
      </c>
      <c r="F136" s="135">
        <v>8.2110000000000003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22</v>
      </c>
      <c r="E137" s="95" t="s">
        <v>19</v>
      </c>
      <c r="F137" s="135">
        <v>423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22</v>
      </c>
      <c r="E138" s="95" t="s">
        <v>19</v>
      </c>
      <c r="F138" s="135">
        <v>22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49</v>
      </c>
      <c r="E139" s="106"/>
      <c r="F139" s="54">
        <f>SUM(F136:F138)</f>
        <v>453.21100000000001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1764913</v>
      </c>
      <c r="E140" s="146"/>
      <c r="F140" s="148">
        <f>F10+F64+F68+F82+F90+F95+F98+F101+F103+F110+F116+F120+F123+F126+F130+F134+F139</f>
        <v>4022.3244700000005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79:R79"/>
    <mergeCell ref="P80:R80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" right="0" top="0.39370078740157499" bottom="0.39370078740157499" header="0.31496062992126" footer="0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14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>
        <v>200</v>
      </c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>
        <v>200</v>
      </c>
      <c r="E8" s="95" t="s">
        <v>19</v>
      </c>
      <c r="F8" s="33">
        <v>38.5</v>
      </c>
      <c r="G8" s="106"/>
      <c r="H8" s="106"/>
      <c r="I8" s="106"/>
      <c r="J8" s="106"/>
      <c r="K8" s="106"/>
      <c r="L8" s="106"/>
      <c r="M8" s="115" t="s">
        <v>97</v>
      </c>
      <c r="N8" s="115" t="s">
        <v>97</v>
      </c>
      <c r="O8" s="115" t="s">
        <v>97</v>
      </c>
      <c r="P8" s="115" t="s">
        <v>97</v>
      </c>
      <c r="Q8" s="115" t="s">
        <v>97</v>
      </c>
      <c r="R8" s="115" t="s">
        <v>97</v>
      </c>
    </row>
    <row r="9" spans="1:21">
      <c r="A9" s="106"/>
      <c r="B9" s="111" t="s">
        <v>96</v>
      </c>
      <c r="C9" s="111" t="s">
        <v>42</v>
      </c>
      <c r="D9" s="65">
        <v>200</v>
      </c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200</v>
      </c>
      <c r="E10" s="106"/>
      <c r="F10" s="34">
        <f>SUM(F7:F9)</f>
        <v>38.5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0</v>
      </c>
      <c r="E17" s="95" t="s">
        <v>19</v>
      </c>
      <c r="F17" s="114">
        <v>0</v>
      </c>
      <c r="G17" s="106"/>
      <c r="H17" s="106"/>
      <c r="I17" s="106"/>
      <c r="J17" s="106"/>
      <c r="K17" s="106"/>
      <c r="L17" s="106"/>
      <c r="M17" s="115"/>
      <c r="N17" s="115"/>
      <c r="O17" s="115"/>
      <c r="P17" s="115"/>
      <c r="Q17" s="115"/>
      <c r="R17" s="115"/>
    </row>
    <row r="18" spans="1:18">
      <c r="A18" s="190"/>
      <c r="B18" s="111" t="s">
        <v>76</v>
      </c>
      <c r="C18" s="111" t="s">
        <v>42</v>
      </c>
      <c r="D18" s="65">
        <v>0</v>
      </c>
      <c r="E18" s="95" t="s">
        <v>19</v>
      </c>
      <c r="F18" s="33">
        <v>0</v>
      </c>
      <c r="G18" s="106"/>
      <c r="H18" s="106"/>
      <c r="I18" s="106"/>
      <c r="J18" s="106"/>
      <c r="K18" s="106"/>
      <c r="L18" s="106"/>
      <c r="M18" s="115"/>
      <c r="N18" s="115"/>
      <c r="O18" s="115"/>
      <c r="P18" s="115"/>
      <c r="Q18" s="115"/>
      <c r="R18" s="115"/>
    </row>
    <row r="19" spans="1:18" ht="15" customHeight="1">
      <c r="A19" s="191"/>
      <c r="B19" s="111" t="s">
        <v>96</v>
      </c>
      <c r="C19" s="111" t="s">
        <v>42</v>
      </c>
      <c r="D19" s="65">
        <v>0</v>
      </c>
      <c r="E19" s="95" t="s">
        <v>19</v>
      </c>
      <c r="F19" s="33">
        <v>0</v>
      </c>
      <c r="G19" s="106"/>
      <c r="H19" s="106"/>
      <c r="I19" s="106"/>
      <c r="J19" s="106"/>
      <c r="K19" s="106"/>
      <c r="L19" s="106"/>
      <c r="M19" s="115"/>
      <c r="N19" s="115"/>
      <c r="O19" s="115"/>
      <c r="P19" s="115"/>
      <c r="Q19" s="115"/>
      <c r="R19" s="115"/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268</v>
      </c>
      <c r="E21" s="95" t="s">
        <v>19</v>
      </c>
      <c r="F21" s="114">
        <f>268*575/100000</f>
        <v>1.5409999999999999</v>
      </c>
      <c r="G21" s="106"/>
      <c r="H21" s="106"/>
      <c r="I21" s="106"/>
      <c r="J21" s="106"/>
      <c r="K21" s="106"/>
      <c r="L21" s="106"/>
      <c r="M21" s="115" t="s">
        <v>97</v>
      </c>
      <c r="N21" s="115" t="s">
        <v>97</v>
      </c>
      <c r="O21" s="115" t="s">
        <v>97</v>
      </c>
      <c r="P21" s="115" t="s">
        <v>97</v>
      </c>
      <c r="Q21" s="115" t="s">
        <v>97</v>
      </c>
      <c r="R21" s="115" t="s">
        <v>97</v>
      </c>
    </row>
    <row r="22" spans="1:18">
      <c r="A22" s="190"/>
      <c r="B22" s="111" t="s">
        <v>76</v>
      </c>
      <c r="C22" s="111" t="s">
        <v>42</v>
      </c>
      <c r="D22" s="65">
        <v>268</v>
      </c>
      <c r="E22" s="95" t="s">
        <v>19</v>
      </c>
      <c r="F22" s="114">
        <f>268*7480/100000</f>
        <v>20.046399999999998</v>
      </c>
      <c r="G22" s="106"/>
      <c r="H22" s="106"/>
      <c r="I22" s="106"/>
      <c r="J22" s="106"/>
      <c r="K22" s="106"/>
      <c r="L22" s="106"/>
      <c r="M22" s="115" t="s">
        <v>97</v>
      </c>
      <c r="N22" s="115" t="s">
        <v>97</v>
      </c>
      <c r="O22" s="115" t="s">
        <v>97</v>
      </c>
      <c r="P22" s="115" t="s">
        <v>97</v>
      </c>
      <c r="Q22" s="115" t="s">
        <v>97</v>
      </c>
      <c r="R22" s="115" t="s">
        <v>97</v>
      </c>
    </row>
    <row r="23" spans="1:18" ht="15" customHeight="1">
      <c r="A23" s="191"/>
      <c r="B23" s="111" t="s">
        <v>96</v>
      </c>
      <c r="C23" s="111" t="s">
        <v>42</v>
      </c>
      <c r="D23" s="65">
        <v>268</v>
      </c>
      <c r="E23" s="95" t="s">
        <v>19</v>
      </c>
      <c r="F23" s="114">
        <f>268*500/100000</f>
        <v>1.34</v>
      </c>
      <c r="G23" s="106"/>
      <c r="H23" s="106"/>
      <c r="I23" s="106"/>
      <c r="J23" s="106"/>
      <c r="K23" s="106"/>
      <c r="L23" s="106"/>
      <c r="M23" s="115" t="s">
        <v>97</v>
      </c>
      <c r="N23" s="115" t="s">
        <v>97</v>
      </c>
      <c r="O23" s="115" t="s">
        <v>97</v>
      </c>
      <c r="P23" s="115" t="s">
        <v>97</v>
      </c>
      <c r="Q23" s="115" t="s">
        <v>97</v>
      </c>
      <c r="R23" s="115" t="s">
        <v>97</v>
      </c>
    </row>
    <row r="24" spans="1:18">
      <c r="A24" s="185" t="s">
        <v>158</v>
      </c>
      <c r="B24" s="187"/>
      <c r="C24" s="111"/>
      <c r="D24" s="94">
        <f>+D21+D17+D13</f>
        <v>268</v>
      </c>
      <c r="E24" s="95"/>
      <c r="F24" s="34">
        <f>SUM(F13:F23)</f>
        <v>22.927399999999999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/>
      <c r="E34" s="95" t="s">
        <v>19</v>
      </c>
      <c r="F34" s="114"/>
      <c r="G34" s="106"/>
      <c r="H34" s="106"/>
      <c r="I34" s="106"/>
      <c r="J34" s="106"/>
      <c r="K34" s="106"/>
      <c r="L34" s="106"/>
      <c r="M34" s="115"/>
      <c r="N34" s="115"/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/>
      <c r="E35" s="95" t="s">
        <v>19</v>
      </c>
      <c r="F35" s="33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65"/>
      <c r="E36" s="95" t="s">
        <v>19</v>
      </c>
      <c r="F36" s="33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0</v>
      </c>
      <c r="E37" s="95"/>
      <c r="F37" s="34">
        <f>SUM(F26:F36)</f>
        <v>0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/>
      <c r="E43" s="95" t="s">
        <v>19</v>
      </c>
      <c r="F43" s="117"/>
      <c r="G43" s="99"/>
      <c r="H43" s="99"/>
      <c r="I43" s="99"/>
      <c r="J43" s="99"/>
      <c r="K43" s="99"/>
      <c r="L43" s="99"/>
      <c r="M43" s="115"/>
      <c r="N43" s="115"/>
      <c r="O43" s="115"/>
      <c r="P43" s="115"/>
      <c r="Q43" s="115"/>
      <c r="R43" s="115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/>
      <c r="E45" s="95" t="s">
        <v>19</v>
      </c>
      <c r="F45" s="117"/>
      <c r="G45" s="99"/>
      <c r="H45" s="99"/>
      <c r="I45" s="99"/>
      <c r="J45" s="99"/>
      <c r="K45" s="99"/>
      <c r="L45" s="99"/>
      <c r="M45" s="115"/>
      <c r="N45" s="115"/>
      <c r="O45" s="115"/>
      <c r="P45" s="115"/>
      <c r="Q45" s="115"/>
      <c r="R45" s="115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4458</v>
      </c>
      <c r="E47" s="95" t="s">
        <v>19</v>
      </c>
      <c r="F47" s="34">
        <f>4458*67/100000</f>
        <v>2.9868600000000001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4458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4458</v>
      </c>
      <c r="E49" s="95" t="s">
        <v>19</v>
      </c>
      <c r="F49" s="34">
        <f>4458*500/100000</f>
        <v>22.29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4458</v>
      </c>
      <c r="E50" s="95"/>
      <c r="F50" s="34">
        <f>SUM(F39:F49)</f>
        <v>25.276859999999999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3487</v>
      </c>
      <c r="E60" s="95" t="s">
        <v>19</v>
      </c>
      <c r="F60" s="34">
        <f>67*3487/100000</f>
        <v>2.33629</v>
      </c>
      <c r="G60" s="99"/>
      <c r="H60" s="99"/>
      <c r="I60" s="99"/>
      <c r="J60" s="99"/>
      <c r="K60" s="99"/>
      <c r="L60" s="99"/>
      <c r="M60" s="115" t="s">
        <v>97</v>
      </c>
      <c r="N60" s="115" t="s">
        <v>97</v>
      </c>
      <c r="O60" s="115" t="s">
        <v>97</v>
      </c>
      <c r="P60" s="115" t="s">
        <v>97</v>
      </c>
      <c r="Q60" s="115" t="s">
        <v>97</v>
      </c>
      <c r="R60" s="115" t="s">
        <v>97</v>
      </c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/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/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3487</v>
      </c>
      <c r="E63" s="95"/>
      <c r="F63" s="34">
        <f>SUM(F52:F62)</f>
        <v>2.33629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8213</v>
      </c>
      <c r="E64" s="106"/>
      <c r="F64" s="120">
        <f>+F63+F50+F37+F24</f>
        <v>50.540549999999996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3480</v>
      </c>
      <c r="E66" s="121" t="s">
        <v>19</v>
      </c>
      <c r="F66" s="33">
        <f>D66*0.0003</f>
        <v>1.0439999999999998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3480</v>
      </c>
      <c r="E67" s="95" t="s">
        <v>78</v>
      </c>
      <c r="F67" s="33">
        <f>D67*0.0003</f>
        <v>1.0439999999999998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3480</v>
      </c>
      <c r="E68" s="106"/>
      <c r="F68" s="34">
        <f>SUM(F66:F67)</f>
        <v>2.0879999999999996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10525</v>
      </c>
      <c r="E69" s="204" t="s">
        <v>17</v>
      </c>
      <c r="F69" s="63">
        <v>15.785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9738</v>
      </c>
      <c r="E70" s="205"/>
      <c r="F70" s="56">
        <v>14.605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10969</v>
      </c>
      <c r="E71" s="205"/>
      <c r="F71" s="56">
        <v>16.4529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11286</v>
      </c>
      <c r="E72" s="205"/>
      <c r="F72" s="56">
        <v>16.927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10754</v>
      </c>
      <c r="E73" s="206"/>
      <c r="F73" s="56">
        <v>16.137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53272</v>
      </c>
      <c r="E74" s="95"/>
      <c r="F74" s="54">
        <f>F69+F70+F71+F72+F73</f>
        <v>79.906900000000007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11599</v>
      </c>
      <c r="E75" s="204" t="s">
        <v>17</v>
      </c>
      <c r="F75" s="56">
        <v>29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10680</v>
      </c>
      <c r="E76" s="205"/>
      <c r="F76" s="56">
        <v>26.7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9420</v>
      </c>
      <c r="E77" s="206"/>
      <c r="F77" s="157">
        <v>23.55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31699</v>
      </c>
      <c r="E78" s="95"/>
      <c r="F78" s="36">
        <f>F75+F76+F77</f>
        <v>79.25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24</v>
      </c>
      <c r="E79" s="95" t="s">
        <v>19</v>
      </c>
      <c r="F79" s="33">
        <v>0.04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121</v>
      </c>
      <c r="E80" s="95" t="s">
        <v>19</v>
      </c>
      <c r="F80" s="33">
        <v>0.2205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145</v>
      </c>
      <c r="E81" s="106"/>
      <c r="F81" s="120">
        <f>F80+F79</f>
        <v>0.26050000000000001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85116</v>
      </c>
      <c r="E82" s="106"/>
      <c r="F82" s="120">
        <f>F81+F78+F74</f>
        <v>159.41739999999999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9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7" customHeight="1">
      <c r="A85" s="95"/>
      <c r="B85" s="116" t="s">
        <v>84</v>
      </c>
      <c r="C85" s="116" t="s">
        <v>42</v>
      </c>
      <c r="D85" s="66">
        <v>84971</v>
      </c>
      <c r="E85" s="172"/>
      <c r="F85" s="33">
        <v>21.242000000000001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1906</v>
      </c>
      <c r="E86" s="172"/>
      <c r="F86" s="33">
        <v>0.28589999999999999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510</v>
      </c>
      <c r="E87" s="172"/>
      <c r="F87" s="33">
        <v>7.5999999999999998E-2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510</v>
      </c>
      <c r="E88" s="172"/>
      <c r="F88" s="33">
        <v>3.8250000000000002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160</v>
      </c>
      <c r="E89" s="173"/>
      <c r="F89" s="33">
        <v>1.6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88057</v>
      </c>
      <c r="E90" s="106"/>
      <c r="F90" s="34">
        <f>SUM(F84:F89)</f>
        <v>27.028900000000004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26616</v>
      </c>
      <c r="E91" s="193" t="s">
        <v>35</v>
      </c>
      <c r="F91" s="117">
        <v>106.464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2714</v>
      </c>
      <c r="E92" s="193"/>
      <c r="F92" s="117">
        <v>10.856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85</v>
      </c>
      <c r="E93" s="193"/>
      <c r="F93" s="117">
        <v>0.34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21887</v>
      </c>
      <c r="E94" s="193"/>
      <c r="F94" s="117">
        <v>87.548000000000002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51302</v>
      </c>
      <c r="E95" s="106"/>
      <c r="F95" s="34">
        <f>SUM(F91:F94)</f>
        <v>205.208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350</v>
      </c>
      <c r="E99" s="174" t="s">
        <v>19</v>
      </c>
      <c r="F99" s="33">
        <v>17.5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160</v>
      </c>
      <c r="E100" s="174"/>
      <c r="F100" s="33">
        <v>11.200000000000001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510</v>
      </c>
      <c r="E101" s="106"/>
      <c r="F101" s="34">
        <f>SUM(F99:F100)</f>
        <v>28.700000000000003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510</v>
      </c>
      <c r="E102" s="95" t="s">
        <v>19</v>
      </c>
      <c r="F102" s="33">
        <v>2.29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510</v>
      </c>
      <c r="E103" s="106"/>
      <c r="F103" s="34">
        <f>F102</f>
        <v>2.29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0</v>
      </c>
      <c r="E105" s="95" t="s">
        <v>21</v>
      </c>
      <c r="F105" s="134">
        <v>0</v>
      </c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0</v>
      </c>
      <c r="E106" s="95" t="s">
        <v>19</v>
      </c>
      <c r="F106" s="135">
        <v>0</v>
      </c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0</v>
      </c>
      <c r="E107" s="95" t="s">
        <v>21</v>
      </c>
      <c r="F107" s="36">
        <v>0</v>
      </c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0</v>
      </c>
      <c r="E108" s="95" t="s">
        <v>21</v>
      </c>
      <c r="F108" s="136">
        <v>0</v>
      </c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0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0</v>
      </c>
      <c r="E110" s="106"/>
      <c r="F110" s="34">
        <f>SUM(F105:F109)</f>
        <v>0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1283</v>
      </c>
      <c r="E112" s="95" t="s">
        <v>19</v>
      </c>
      <c r="F112" s="135">
        <v>1.2829999999999999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510</v>
      </c>
      <c r="E113" s="95" t="s">
        <v>21</v>
      </c>
      <c r="F113" s="135">
        <v>0.76500000000000001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</v>
      </c>
      <c r="E114" s="95" t="s">
        <v>21</v>
      </c>
      <c r="F114" s="135">
        <v>1.08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0</v>
      </c>
      <c r="E115" s="95"/>
      <c r="F115" s="135">
        <v>0</v>
      </c>
      <c r="G115" s="12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1794</v>
      </c>
      <c r="E116" s="106"/>
      <c r="F116" s="34">
        <f>SUM(F112:F115)</f>
        <v>3.1280000000000001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43</v>
      </c>
      <c r="E119" s="95" t="s">
        <v>19</v>
      </c>
      <c r="F119" s="135">
        <v>2.72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45</v>
      </c>
      <c r="E120" s="106"/>
      <c r="F120" s="54">
        <f>SUM(F118:F119)</f>
        <v>5.7200000000000006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</v>
      </c>
      <c r="E121" s="95" t="s">
        <v>19</v>
      </c>
      <c r="F121" s="135">
        <v>0.5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1</v>
      </c>
      <c r="E122" s="95" t="s">
        <v>19</v>
      </c>
      <c r="F122" s="135">
        <v>0.3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</v>
      </c>
      <c r="E123" s="106"/>
      <c r="F123" s="54">
        <f>SUM(F121:F122)</f>
        <v>0.8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42</v>
      </c>
      <c r="E124" s="95" t="s">
        <v>19</v>
      </c>
      <c r="F124" s="135">
        <v>4.2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42</v>
      </c>
      <c r="E125" s="95" t="s">
        <v>19</v>
      </c>
      <c r="F125" s="135">
        <v>5.04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42</v>
      </c>
      <c r="E126" s="106"/>
      <c r="F126" s="54">
        <f>SUM(F124:F125)</f>
        <v>9.24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0</v>
      </c>
      <c r="E133" s="95" t="s">
        <v>21</v>
      </c>
      <c r="F133" s="135">
        <v>0</v>
      </c>
      <c r="G133" s="143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0</v>
      </c>
      <c r="E134" s="106"/>
      <c r="F134" s="54">
        <f>F133+F132</f>
        <v>0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0</v>
      </c>
      <c r="E136" s="95" t="s">
        <v>19</v>
      </c>
      <c r="F136" s="135">
        <v>0</v>
      </c>
      <c r="G136" s="99"/>
      <c r="H136" s="99"/>
      <c r="I136" s="99"/>
      <c r="J136" s="99"/>
      <c r="K136" s="99"/>
      <c r="L136" s="99"/>
      <c r="M136" s="99"/>
      <c r="N136" s="133"/>
      <c r="O136" s="133"/>
      <c r="P136" s="99"/>
      <c r="Q136" s="99"/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0</v>
      </c>
      <c r="E137" s="95" t="s">
        <v>19</v>
      </c>
      <c r="F137" s="135">
        <v>0</v>
      </c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0</v>
      </c>
      <c r="E138" s="95" t="s">
        <v>19</v>
      </c>
      <c r="F138" s="135">
        <v>0</v>
      </c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0</v>
      </c>
      <c r="E139" s="106"/>
      <c r="F139" s="54">
        <f>SUM(F136:F138)</f>
        <v>0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239270</v>
      </c>
      <c r="E140" s="146"/>
      <c r="F140" s="148">
        <f>F10+F64+F68+F82+F90+F95+F98+F101+F103+F110+F116+F120+F123+F126+F130+F134+F139</f>
        <v>532.66084999999998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79:R79"/>
    <mergeCell ref="P80:R80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" right="0" top="0.39370078740157483" bottom="0.39370078740157483" header="0.31496062992125984" footer="0"/>
  <pageSetup paperSize="9" scale="6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3857</v>
      </c>
      <c r="E17" s="95" t="s">
        <v>19</v>
      </c>
      <c r="F17" s="114">
        <f>D17*775/100000</f>
        <v>29.891749999999998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3857</v>
      </c>
      <c r="E18" s="95" t="s">
        <v>19</v>
      </c>
      <c r="F18" s="33">
        <f>D18*11220/100000</f>
        <v>432.75540000000001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3857</v>
      </c>
      <c r="E19" s="95" t="s">
        <v>19</v>
      </c>
      <c r="F19" s="33">
        <f>3857*500/100000</f>
        <v>19.285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1068</v>
      </c>
      <c r="E21" s="95" t="s">
        <v>19</v>
      </c>
      <c r="F21" s="114">
        <f>D21*575/100000</f>
        <v>6.141</v>
      </c>
      <c r="G21" s="106"/>
      <c r="H21" s="106"/>
      <c r="I21" s="106"/>
      <c r="J21" s="106"/>
      <c r="K21" s="106"/>
      <c r="L21" s="106"/>
      <c r="M21" s="115" t="s">
        <v>97</v>
      </c>
      <c r="N21" s="115" t="s">
        <v>97</v>
      </c>
      <c r="O21" s="115" t="s">
        <v>97</v>
      </c>
      <c r="P21" s="115" t="s">
        <v>97</v>
      </c>
      <c r="Q21" s="115" t="s">
        <v>97</v>
      </c>
      <c r="R21" s="115" t="s">
        <v>97</v>
      </c>
    </row>
    <row r="22" spans="1:18">
      <c r="A22" s="190"/>
      <c r="B22" s="111" t="s">
        <v>76</v>
      </c>
      <c r="C22" s="111" t="s">
        <v>42</v>
      </c>
      <c r="D22" s="65">
        <v>1068</v>
      </c>
      <c r="E22" s="95" t="s">
        <v>19</v>
      </c>
      <c r="F22" s="33">
        <f>D22*7480/100000</f>
        <v>79.886399999999995</v>
      </c>
      <c r="G22" s="106"/>
      <c r="H22" s="106"/>
      <c r="I22" s="106"/>
      <c r="J22" s="106"/>
      <c r="K22" s="106"/>
      <c r="L22" s="106"/>
      <c r="M22" s="115" t="s">
        <v>97</v>
      </c>
      <c r="N22" s="115" t="s">
        <v>97</v>
      </c>
      <c r="O22" s="115" t="s">
        <v>97</v>
      </c>
      <c r="P22" s="115" t="s">
        <v>97</v>
      </c>
      <c r="Q22" s="115" t="s">
        <v>97</v>
      </c>
      <c r="R22" s="115" t="s">
        <v>97</v>
      </c>
    </row>
    <row r="23" spans="1:18" ht="15" customHeight="1">
      <c r="A23" s="191"/>
      <c r="B23" s="111" t="s">
        <v>96</v>
      </c>
      <c r="C23" s="111" t="s">
        <v>42</v>
      </c>
      <c r="D23" s="65">
        <v>1068</v>
      </c>
      <c r="E23" s="95" t="s">
        <v>19</v>
      </c>
      <c r="F23" s="33">
        <f>1068*500/100000</f>
        <v>5.34</v>
      </c>
      <c r="G23" s="106"/>
      <c r="H23" s="106"/>
      <c r="I23" s="106"/>
      <c r="J23" s="106"/>
      <c r="K23" s="106"/>
      <c r="L23" s="106"/>
      <c r="M23" s="115" t="s">
        <v>97</v>
      </c>
      <c r="N23" s="115" t="s">
        <v>97</v>
      </c>
      <c r="O23" s="115" t="s">
        <v>97</v>
      </c>
      <c r="P23" s="115" t="s">
        <v>97</v>
      </c>
      <c r="Q23" s="115" t="s">
        <v>97</v>
      </c>
      <c r="R23" s="115" t="s">
        <v>97</v>
      </c>
    </row>
    <row r="24" spans="1:18">
      <c r="A24" s="185" t="s">
        <v>158</v>
      </c>
      <c r="B24" s="187"/>
      <c r="C24" s="111"/>
      <c r="D24" s="94">
        <f>+D21+D17+D13</f>
        <v>4925</v>
      </c>
      <c r="E24" s="95"/>
      <c r="F24" s="34">
        <f>SUM(F13:F23)</f>
        <v>573.29955000000007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/>
      <c r="E34" s="95" t="s">
        <v>19</v>
      </c>
      <c r="F34" s="114"/>
      <c r="G34" s="106"/>
      <c r="H34" s="106"/>
      <c r="I34" s="106"/>
      <c r="J34" s="106"/>
      <c r="K34" s="106"/>
      <c r="L34" s="106"/>
      <c r="M34" s="115"/>
      <c r="N34" s="115"/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/>
      <c r="E35" s="95" t="s">
        <v>19</v>
      </c>
      <c r="F35" s="33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65"/>
      <c r="E36" s="95" t="s">
        <v>19</v>
      </c>
      <c r="F36" s="33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0</v>
      </c>
      <c r="E37" s="95"/>
      <c r="F37" s="34">
        <f>SUM(F26:F36)</f>
        <v>0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4689</v>
      </c>
      <c r="E43" s="95" t="s">
        <v>19</v>
      </c>
      <c r="F43" s="117">
        <f>4689*67/100000</f>
        <v>3.1416300000000001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4689</v>
      </c>
      <c r="E45" s="95" t="s">
        <v>19</v>
      </c>
      <c r="F45" s="117">
        <f>4689*500/100000</f>
        <v>23.445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0</v>
      </c>
      <c r="E47" s="95" t="s">
        <v>19</v>
      </c>
      <c r="F47" s="34">
        <v>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0</v>
      </c>
      <c r="E49" s="95" t="s">
        <v>19</v>
      </c>
      <c r="F49" s="34">
        <v>0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4689</v>
      </c>
      <c r="E50" s="95"/>
      <c r="F50" s="34">
        <f>SUM(F39:F49)</f>
        <v>26.58663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9614</v>
      </c>
      <c r="E64" s="106"/>
      <c r="F64" s="120">
        <f>+F63+F50+F37+F24</f>
        <v>599.88618000000008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19123</v>
      </c>
      <c r="E66" s="121" t="s">
        <v>19</v>
      </c>
      <c r="F66" s="33">
        <f>D66*0.0003</f>
        <v>5.7368999999999994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19123</v>
      </c>
      <c r="E67" s="95" t="s">
        <v>78</v>
      </c>
      <c r="F67" s="33">
        <f>D67*0.0003</f>
        <v>5.7368999999999994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19123</v>
      </c>
      <c r="E68" s="106"/>
      <c r="F68" s="34">
        <f>SUM(F66:F67)</f>
        <v>11.473799999999999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112670</v>
      </c>
      <c r="E69" s="204" t="s">
        <v>17</v>
      </c>
      <c r="F69" s="63">
        <v>169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103480</v>
      </c>
      <c r="E70" s="205"/>
      <c r="F70" s="56">
        <v>155.26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105814</v>
      </c>
      <c r="E71" s="205"/>
      <c r="F71" s="56">
        <v>158.72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101171</v>
      </c>
      <c r="E72" s="205"/>
      <c r="F72" s="56">
        <v>151.75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97713</v>
      </c>
      <c r="E73" s="206"/>
      <c r="F73" s="56">
        <v>146.56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520848</v>
      </c>
      <c r="E74" s="95"/>
      <c r="F74" s="54">
        <f>F69+F70+F71+F72+F73</f>
        <v>781.29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69913</v>
      </c>
      <c r="E75" s="204" t="s">
        <v>17</v>
      </c>
      <c r="F75" s="54">
        <v>174.78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58607</v>
      </c>
      <c r="E76" s="205"/>
      <c r="F76" s="54">
        <v>146.51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44207</v>
      </c>
      <c r="E77" s="206"/>
      <c r="F77" s="55">
        <v>110.51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172727</v>
      </c>
      <c r="E78" s="95"/>
      <c r="F78" s="36">
        <f>F75+F76+F77</f>
        <v>431.79999999999995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693575</v>
      </c>
      <c r="E82" s="106"/>
      <c r="F82" s="120">
        <f>F81+F78+F74</f>
        <v>1213.0899999999999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693575</v>
      </c>
      <c r="E85" s="172"/>
      <c r="F85" s="33">
        <v>173.393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9866</v>
      </c>
      <c r="E86" s="172"/>
      <c r="F86" s="33">
        <v>1.4790000000000001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3370</v>
      </c>
      <c r="E87" s="172"/>
      <c r="F87" s="33">
        <v>0.505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3370</v>
      </c>
      <c r="E88" s="172"/>
      <c r="F88" s="33">
        <v>25.27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985</v>
      </c>
      <c r="E89" s="173"/>
      <c r="F89" s="33">
        <v>9.85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711166</v>
      </c>
      <c r="E90" s="106"/>
      <c r="F90" s="34">
        <f>SUM(F84:F89)</f>
        <v>210.49700000000001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92227</v>
      </c>
      <c r="E91" s="193" t="s">
        <v>35</v>
      </c>
      <c r="F91" s="117">
        <v>368.90800000000002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27642</v>
      </c>
      <c r="E92" s="193"/>
      <c r="F92" s="117">
        <v>110.568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10964</v>
      </c>
      <c r="E93" s="193"/>
      <c r="F93" s="117">
        <v>43.856000000000002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113374</v>
      </c>
      <c r="E94" s="193"/>
      <c r="F94" s="117">
        <v>453.49600000000004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244207</v>
      </c>
      <c r="E95" s="106"/>
      <c r="F95" s="34">
        <f>SUM(F91:F94)</f>
        <v>976.82799999999997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2385</v>
      </c>
      <c r="E99" s="174" t="s">
        <v>19</v>
      </c>
      <c r="F99" s="33">
        <v>119.25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985</v>
      </c>
      <c r="E100" s="174"/>
      <c r="F100" s="33">
        <v>68.95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3370</v>
      </c>
      <c r="E101" s="106"/>
      <c r="F101" s="34">
        <f>SUM(F99:F100)</f>
        <v>188.2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3370</v>
      </c>
      <c r="E102" s="95" t="s">
        <v>19</v>
      </c>
      <c r="F102" s="33">
        <v>15.1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3370</v>
      </c>
      <c r="E103" s="106"/>
      <c r="F103" s="34">
        <f>F102</f>
        <v>15.1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4.5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0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15.5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2394</v>
      </c>
      <c r="E112" s="95" t="s">
        <v>19</v>
      </c>
      <c r="F112" s="135">
        <v>2.3940000000000001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3370</v>
      </c>
      <c r="E113" s="95" t="s">
        <v>21</v>
      </c>
      <c r="F113" s="135">
        <v>5.0549999999999997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14</v>
      </c>
      <c r="E114" s="95" t="s">
        <v>21</v>
      </c>
      <c r="F114" s="135">
        <v>22.2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9" t="s">
        <v>97</v>
      </c>
      <c r="K115" s="99" t="s">
        <v>97</v>
      </c>
      <c r="L115" s="99" t="s">
        <v>97</v>
      </c>
      <c r="M115" s="97"/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5780</v>
      </c>
      <c r="E116" s="106"/>
      <c r="F116" s="34">
        <f>SUM(F112:F115)</f>
        <v>30.899000000000001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197</v>
      </c>
      <c r="E119" s="95" t="s">
        <v>19</v>
      </c>
      <c r="F119" s="135">
        <v>11.95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199</v>
      </c>
      <c r="E120" s="106"/>
      <c r="F120" s="54">
        <f>SUM(F118:F119)</f>
        <v>14.95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14</v>
      </c>
      <c r="E121" s="95" t="s">
        <v>19</v>
      </c>
      <c r="F121" s="135">
        <v>7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14</v>
      </c>
      <c r="E122" s="95" t="s">
        <v>19</v>
      </c>
      <c r="F122" s="135">
        <v>4.2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14</v>
      </c>
      <c r="E123" s="106"/>
      <c r="F123" s="54">
        <f>SUM(F121:F122)</f>
        <v>11.2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182</v>
      </c>
      <c r="E124" s="95" t="s">
        <v>19</v>
      </c>
      <c r="F124" s="135">
        <v>18.2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182</v>
      </c>
      <c r="E125" s="95" t="s">
        <v>19</v>
      </c>
      <c r="F125" s="135">
        <v>21.84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182</v>
      </c>
      <c r="E126" s="106"/>
      <c r="F126" s="54">
        <f>SUM(F124:F125)</f>
        <v>40.04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L132" s="133" t="s">
        <v>97</v>
      </c>
      <c r="M132" s="133" t="s">
        <v>97</v>
      </c>
      <c r="N132" s="133" t="s">
        <v>97</v>
      </c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1680</v>
      </c>
      <c r="E133" s="95" t="s">
        <v>21</v>
      </c>
      <c r="F133" s="135">
        <v>50.4</v>
      </c>
      <c r="G133" s="143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1680</v>
      </c>
      <c r="E134" s="106"/>
      <c r="F134" s="54">
        <f>F133+F132</f>
        <v>50.4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4</v>
      </c>
      <c r="E136" s="95" t="s">
        <v>19</v>
      </c>
      <c r="F136" s="135">
        <v>5.625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15</v>
      </c>
      <c r="E137" s="95" t="s">
        <v>19</v>
      </c>
      <c r="F137" s="135">
        <v>288.75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15</v>
      </c>
      <c r="E138" s="95" t="s">
        <v>19</v>
      </c>
      <c r="F138" s="135">
        <v>15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34</v>
      </c>
      <c r="E139" s="106"/>
      <c r="F139" s="54">
        <f>SUM(F136:F138)</f>
        <v>309.375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1692315</v>
      </c>
      <c r="E140" s="146"/>
      <c r="F140" s="148">
        <f>F10+F64+F68+F82+F90+F95+F98+F101+F103+F110+F116+F120+F123+F126+F130+F134+F139</f>
        <v>3687.4389799999994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41" right="0.24" top="0.74803149606299213" bottom="0.74803149606299213" header="0.31496062992125984" footer="0.31496062992125984"/>
  <pageSetup paperSize="9" scale="65" orientation="landscape" r:id="rId1"/>
  <rowBreaks count="2" manualBreakCount="2">
    <brk id="38" max="16383" man="1"/>
    <brk id="77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110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99</v>
      </c>
      <c r="E17" s="95" t="s">
        <v>19</v>
      </c>
      <c r="F17" s="114">
        <f>99*775/100000</f>
        <v>0.76724999999999999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99</v>
      </c>
      <c r="E18" s="95" t="s">
        <v>19</v>
      </c>
      <c r="F18" s="33">
        <f>99*11220/100000</f>
        <v>11.107799999999999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99</v>
      </c>
      <c r="E19" s="95" t="s">
        <v>19</v>
      </c>
      <c r="F19" s="33">
        <f>99*500/100000</f>
        <v>0.495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99</v>
      </c>
      <c r="E24" s="95"/>
      <c r="F24" s="34">
        <f>SUM(F13:F23)</f>
        <v>12.370049999999999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150</v>
      </c>
      <c r="E34" s="95" t="s">
        <v>19</v>
      </c>
      <c r="F34" s="114">
        <f>575*150/100000</f>
        <v>0.86250000000000004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150</v>
      </c>
      <c r="E35" s="95" t="s">
        <v>19</v>
      </c>
      <c r="F35" s="114">
        <f>7480*150/100000</f>
        <v>11.22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150</v>
      </c>
      <c r="E36" s="95" t="s">
        <v>19</v>
      </c>
      <c r="F36" s="114">
        <f>500*150/100000</f>
        <v>0.75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150</v>
      </c>
      <c r="E37" s="95"/>
      <c r="F37" s="34">
        <f>SUM(F26:F36)</f>
        <v>12.832500000000001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/>
      <c r="E43" s="95" t="s">
        <v>19</v>
      </c>
      <c r="F43" s="117"/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/>
      <c r="E45" s="95" t="s">
        <v>19</v>
      </c>
      <c r="F45" s="117"/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2018</v>
      </c>
      <c r="E47" s="95" t="s">
        <v>19</v>
      </c>
      <c r="F47" s="34">
        <f>D47*67/100000</f>
        <v>1.35206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/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484</v>
      </c>
      <c r="E49" s="95" t="s">
        <v>19</v>
      </c>
      <c r="F49" s="34">
        <f>D49*500/100000</f>
        <v>2.42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2018</v>
      </c>
      <c r="E50" s="95"/>
      <c r="F50" s="34">
        <f>SUM(F39:F49)</f>
        <v>3.7720599999999997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/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/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/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2267</v>
      </c>
      <c r="E64" s="106"/>
      <c r="F64" s="120">
        <f>+F63+F50+F37+F24</f>
        <v>28.974609999999998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19163</v>
      </c>
      <c r="E66" s="121" t="s">
        <v>19</v>
      </c>
      <c r="F66" s="33">
        <f>D66*0.0003</f>
        <v>5.7488999999999999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19163</v>
      </c>
      <c r="E67" s="95" t="s">
        <v>78</v>
      </c>
      <c r="F67" s="33">
        <f>D67*0.0003</f>
        <v>5.7488999999999999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19163</v>
      </c>
      <c r="E68" s="106"/>
      <c r="F68" s="34">
        <f>SUM(F66:F67)</f>
        <v>11.4978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70337</v>
      </c>
      <c r="E69" s="204" t="s">
        <v>17</v>
      </c>
      <c r="F69" s="63">
        <v>105.5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73345</v>
      </c>
      <c r="E70" s="205"/>
      <c r="F70" s="56">
        <v>110.05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77089</v>
      </c>
      <c r="E71" s="205"/>
      <c r="F71" s="56">
        <v>115.63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76850</v>
      </c>
      <c r="E72" s="205"/>
      <c r="F72" s="56">
        <v>115.27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72497</v>
      </c>
      <c r="E73" s="206"/>
      <c r="F73" s="56">
        <v>108.74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370118</v>
      </c>
      <c r="E74" s="95"/>
      <c r="F74" s="54">
        <f>F69+F70+F71+F72+F73</f>
        <v>555.18999999999994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64566</v>
      </c>
      <c r="E75" s="204" t="s">
        <v>17</v>
      </c>
      <c r="F75" s="54">
        <v>161.41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62458</v>
      </c>
      <c r="E76" s="205"/>
      <c r="F76" s="54">
        <v>156.13999999999999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55088</v>
      </c>
      <c r="E77" s="206"/>
      <c r="F77" s="55">
        <v>137.72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182112</v>
      </c>
      <c r="E78" s="95"/>
      <c r="F78" s="36">
        <f>F75+F76+F77</f>
        <v>455.27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552230</v>
      </c>
      <c r="E82" s="106"/>
      <c r="F82" s="120">
        <f>F81+F78+F74</f>
        <v>1010.4599999999999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552230</v>
      </c>
      <c r="E85" s="172"/>
      <c r="F85" s="33">
        <v>138.05699999999999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10286</v>
      </c>
      <c r="E86" s="172"/>
      <c r="F86" s="33">
        <v>1.542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2969</v>
      </c>
      <c r="E87" s="172"/>
      <c r="F87" s="33">
        <v>0.44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2969</v>
      </c>
      <c r="E88" s="172"/>
      <c r="F88" s="33">
        <v>22.26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840</v>
      </c>
      <c r="E89" s="173"/>
      <c r="F89" s="33">
        <v>8.4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569294</v>
      </c>
      <c r="E90" s="106"/>
      <c r="F90" s="34">
        <f>SUM(F84:F89)</f>
        <v>170.69899999999998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71788</v>
      </c>
      <c r="E91" s="193" t="s">
        <v>35</v>
      </c>
      <c r="F91" s="117">
        <v>287.15199999999999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40041</v>
      </c>
      <c r="E92" s="193"/>
      <c r="F92" s="117">
        <v>160.16400000000002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1996</v>
      </c>
      <c r="E93" s="193"/>
      <c r="F93" s="117">
        <v>7.984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93656</v>
      </c>
      <c r="E94" s="193"/>
      <c r="F94" s="117">
        <v>374.62400000000002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207481</v>
      </c>
      <c r="E95" s="106"/>
      <c r="F95" s="34">
        <f>SUM(F91:F94)</f>
        <v>829.92399999999998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2129</v>
      </c>
      <c r="E99" s="174" t="s">
        <v>19</v>
      </c>
      <c r="F99" s="33">
        <v>106.45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840</v>
      </c>
      <c r="E100" s="174"/>
      <c r="F100" s="33">
        <v>58.800000000000004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2969</v>
      </c>
      <c r="E101" s="106"/>
      <c r="F101" s="34">
        <f>SUM(F99:F100)</f>
        <v>165.25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2969</v>
      </c>
      <c r="E102" s="95" t="s">
        <v>19</v>
      </c>
      <c r="F102" s="33">
        <v>13.31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2969</v>
      </c>
      <c r="E103" s="106"/>
      <c r="F103" s="34">
        <f>F102</f>
        <v>13.31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/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16.5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2161</v>
      </c>
      <c r="E112" s="95" t="s">
        <v>19</v>
      </c>
      <c r="F112" s="135">
        <v>2.161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2969</v>
      </c>
      <c r="E113" s="95" t="s">
        <v>21</v>
      </c>
      <c r="F113" s="135">
        <v>4.4539999999999997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19</v>
      </c>
      <c r="E114" s="95" t="s">
        <v>21</v>
      </c>
      <c r="F114" s="135">
        <v>34.200000000000003</v>
      </c>
      <c r="G114" s="99"/>
      <c r="H114" s="99"/>
      <c r="I114" s="99"/>
      <c r="J114" s="99"/>
      <c r="K114" s="99"/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/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5151</v>
      </c>
      <c r="E116" s="106"/>
      <c r="F116" s="34">
        <f>SUM(F112:F115)</f>
        <v>42.065000000000005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220</v>
      </c>
      <c r="E119" s="95" t="s">
        <v>19</v>
      </c>
      <c r="F119" s="135">
        <v>13.6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222</v>
      </c>
      <c r="E120" s="106"/>
      <c r="F120" s="54">
        <f>SUM(F118:F119)</f>
        <v>16.600000000000001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19</v>
      </c>
      <c r="E121" s="95" t="s">
        <v>19</v>
      </c>
      <c r="F121" s="135">
        <v>9.5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19</v>
      </c>
      <c r="E122" s="95" t="s">
        <v>19</v>
      </c>
      <c r="F122" s="135">
        <v>5.7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19</v>
      </c>
      <c r="E123" s="106"/>
      <c r="F123" s="54">
        <f>SUM(F121:F122)</f>
        <v>15.2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200</v>
      </c>
      <c r="E124" s="95" t="s">
        <v>19</v>
      </c>
      <c r="F124" s="135">
        <v>20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200</v>
      </c>
      <c r="E125" s="95" t="s">
        <v>19</v>
      </c>
      <c r="F125" s="135">
        <v>24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200</v>
      </c>
      <c r="E126" s="106"/>
      <c r="F126" s="54">
        <f>SUM(F124:F125)</f>
        <v>44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1435</v>
      </c>
      <c r="E133" s="95" t="s">
        <v>21</v>
      </c>
      <c r="F133" s="135">
        <v>43.05</v>
      </c>
      <c r="G133" s="133" t="s">
        <v>97</v>
      </c>
      <c r="H133" s="133" t="s">
        <v>97</v>
      </c>
      <c r="I133" s="133"/>
      <c r="J133" s="133"/>
      <c r="K133" s="133"/>
      <c r="L133" s="133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1435</v>
      </c>
      <c r="E134" s="106"/>
      <c r="F134" s="54">
        <f>F133+F132</f>
        <v>43.05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8</v>
      </c>
      <c r="E136" s="95" t="s">
        <v>19</v>
      </c>
      <c r="F136" s="135">
        <v>19.928000000000001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18</v>
      </c>
      <c r="E137" s="95" t="s">
        <v>19</v>
      </c>
      <c r="F137" s="135">
        <v>346.5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18</v>
      </c>
      <c r="E138" s="95" t="s">
        <v>19</v>
      </c>
      <c r="F138" s="135">
        <v>18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44</v>
      </c>
      <c r="E139" s="106"/>
      <c r="F139" s="54">
        <f>SUM(F136:F138)</f>
        <v>384.428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1363445</v>
      </c>
      <c r="E140" s="146"/>
      <c r="F140" s="148">
        <f>F10+F64+F68+F82+F90+F95+F98+F101+F103+F110+F116+F120+F123+F126+F130+F134+F139</f>
        <v>2791.9584099999997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33:A36"/>
    <mergeCell ref="A37:B37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B69:B73"/>
    <mergeCell ref="E69:E73"/>
    <mergeCell ref="G69:K73"/>
    <mergeCell ref="P69:R69"/>
    <mergeCell ref="P70:R70"/>
    <mergeCell ref="P71:R71"/>
    <mergeCell ref="P72:R72"/>
    <mergeCell ref="P73:R73"/>
    <mergeCell ref="A16:A19"/>
    <mergeCell ref="A20:A23"/>
    <mergeCell ref="A24:B24"/>
    <mergeCell ref="A25:A28"/>
    <mergeCell ref="A29:A32"/>
    <mergeCell ref="A63:B63"/>
    <mergeCell ref="A55:A58"/>
    <mergeCell ref="A59:A62"/>
    <mergeCell ref="A64:B64"/>
    <mergeCell ref="A68:B68"/>
    <mergeCell ref="A69:A73"/>
    <mergeCell ref="A38:A41"/>
    <mergeCell ref="A42:A45"/>
    <mergeCell ref="A46:A49"/>
    <mergeCell ref="A50:B50"/>
    <mergeCell ref="A51:A54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7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/>
      <c r="E17" s="95" t="s">
        <v>19</v>
      </c>
      <c r="F17" s="114"/>
      <c r="G17" s="106"/>
      <c r="H17" s="106"/>
      <c r="I17" s="106"/>
      <c r="J17" s="106"/>
      <c r="K17" s="106"/>
      <c r="L17" s="106"/>
      <c r="M17" s="115"/>
      <c r="N17" s="115"/>
      <c r="O17" s="115"/>
      <c r="P17" s="115"/>
      <c r="Q17" s="115"/>
      <c r="R17" s="115"/>
    </row>
    <row r="18" spans="1:18">
      <c r="A18" s="190"/>
      <c r="B18" s="111" t="s">
        <v>76</v>
      </c>
      <c r="C18" s="111" t="s">
        <v>42</v>
      </c>
      <c r="D18" s="65"/>
      <c r="E18" s="95" t="s">
        <v>19</v>
      </c>
      <c r="F18" s="33"/>
      <c r="G18" s="106"/>
      <c r="H18" s="106"/>
      <c r="I18" s="106"/>
      <c r="J18" s="106"/>
      <c r="K18" s="106"/>
      <c r="L18" s="106"/>
      <c r="M18" s="115"/>
      <c r="N18" s="115"/>
      <c r="O18" s="115"/>
      <c r="P18" s="115"/>
      <c r="Q18" s="115"/>
      <c r="R18" s="115"/>
    </row>
    <row r="19" spans="1:18" ht="15" customHeight="1">
      <c r="A19" s="191"/>
      <c r="B19" s="111" t="s">
        <v>96</v>
      </c>
      <c r="C19" s="111" t="s">
        <v>42</v>
      </c>
      <c r="D19" s="65"/>
      <c r="E19" s="95" t="s">
        <v>19</v>
      </c>
      <c r="F19" s="33"/>
      <c r="G19" s="106"/>
      <c r="H19" s="106"/>
      <c r="I19" s="106"/>
      <c r="J19" s="106"/>
      <c r="K19" s="106"/>
      <c r="L19" s="106"/>
      <c r="M19" s="115"/>
      <c r="N19" s="115"/>
      <c r="O19" s="115"/>
      <c r="P19" s="115"/>
      <c r="Q19" s="115"/>
      <c r="R19" s="115"/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500</v>
      </c>
      <c r="E21" s="95" t="s">
        <v>19</v>
      </c>
      <c r="F21" s="114">
        <f>D21*575/100000</f>
        <v>2.875</v>
      </c>
      <c r="G21" s="106"/>
      <c r="H21" s="106"/>
      <c r="I21" s="106"/>
      <c r="J21" s="106"/>
      <c r="K21" s="106"/>
      <c r="L21" s="106"/>
      <c r="M21" s="115" t="s">
        <v>97</v>
      </c>
      <c r="N21" s="115" t="s">
        <v>97</v>
      </c>
      <c r="O21" s="115" t="s">
        <v>97</v>
      </c>
      <c r="P21" s="115" t="s">
        <v>97</v>
      </c>
      <c r="Q21" s="115" t="s">
        <v>97</v>
      </c>
      <c r="R21" s="115" t="s">
        <v>97</v>
      </c>
    </row>
    <row r="22" spans="1:18">
      <c r="A22" s="190"/>
      <c r="B22" s="111" t="s">
        <v>76</v>
      </c>
      <c r="C22" s="111" t="s">
        <v>42</v>
      </c>
      <c r="D22" s="65">
        <v>500</v>
      </c>
      <c r="E22" s="95" t="s">
        <v>19</v>
      </c>
      <c r="F22" s="33">
        <f>D22*7480/100000</f>
        <v>37.4</v>
      </c>
      <c r="G22" s="106"/>
      <c r="H22" s="106"/>
      <c r="I22" s="106"/>
      <c r="J22" s="106"/>
      <c r="K22" s="106"/>
      <c r="L22" s="106"/>
      <c r="M22" s="115" t="s">
        <v>97</v>
      </c>
      <c r="N22" s="115" t="s">
        <v>97</v>
      </c>
      <c r="O22" s="115" t="s">
        <v>97</v>
      </c>
      <c r="P22" s="115" t="s">
        <v>97</v>
      </c>
      <c r="Q22" s="115" t="s">
        <v>97</v>
      </c>
      <c r="R22" s="115" t="s">
        <v>97</v>
      </c>
    </row>
    <row r="23" spans="1:18" ht="15" customHeight="1">
      <c r="A23" s="191"/>
      <c r="B23" s="111" t="s">
        <v>96</v>
      </c>
      <c r="C23" s="111" t="s">
        <v>42</v>
      </c>
      <c r="D23" s="65">
        <v>500</v>
      </c>
      <c r="E23" s="95" t="s">
        <v>19</v>
      </c>
      <c r="F23" s="33">
        <f>1068*500/100000</f>
        <v>5.34</v>
      </c>
      <c r="G23" s="106"/>
      <c r="H23" s="106"/>
      <c r="I23" s="106"/>
      <c r="J23" s="106"/>
      <c r="K23" s="106"/>
      <c r="L23" s="106"/>
      <c r="M23" s="115" t="s">
        <v>97</v>
      </c>
      <c r="N23" s="115" t="s">
        <v>97</v>
      </c>
      <c r="O23" s="115" t="s">
        <v>97</v>
      </c>
      <c r="P23" s="115" t="s">
        <v>97</v>
      </c>
      <c r="Q23" s="115" t="s">
        <v>97</v>
      </c>
      <c r="R23" s="115" t="s">
        <v>97</v>
      </c>
    </row>
    <row r="24" spans="1:18">
      <c r="A24" s="185" t="s">
        <v>158</v>
      </c>
      <c r="B24" s="187"/>
      <c r="C24" s="111"/>
      <c r="D24" s="94">
        <f>+D21+D17+D13</f>
        <v>500</v>
      </c>
      <c r="E24" s="95"/>
      <c r="F24" s="34">
        <f>SUM(F13:F23)</f>
        <v>45.614999999999995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184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152">
        <v>350</v>
      </c>
      <c r="E34" s="153" t="s">
        <v>19</v>
      </c>
      <c r="F34" s="118">
        <f>D34*67/100000</f>
        <v>0.23449999999999999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152">
        <v>0</v>
      </c>
      <c r="E35" s="153" t="s">
        <v>19</v>
      </c>
      <c r="F35" s="154">
        <v>0</v>
      </c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152">
        <v>0</v>
      </c>
      <c r="E36" s="153" t="s">
        <v>19</v>
      </c>
      <c r="F36" s="154">
        <v>0</v>
      </c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350</v>
      </c>
      <c r="E37" s="95"/>
      <c r="F37" s="34">
        <f>SUM(F26:F36)</f>
        <v>0.23449999999999999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/>
      <c r="E43" s="95" t="s">
        <v>19</v>
      </c>
      <c r="F43" s="117"/>
      <c r="G43" s="99"/>
      <c r="H43" s="99"/>
      <c r="I43" s="99"/>
      <c r="J43" s="99"/>
      <c r="K43" s="99"/>
      <c r="L43" s="99"/>
      <c r="M43" s="115"/>
      <c r="N43" s="115"/>
      <c r="O43" s="115"/>
      <c r="P43" s="115"/>
      <c r="Q43" s="115"/>
      <c r="R43" s="115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/>
      <c r="E45" s="95" t="s">
        <v>19</v>
      </c>
      <c r="F45" s="117"/>
      <c r="G45" s="99"/>
      <c r="H45" s="99"/>
      <c r="I45" s="99"/>
      <c r="J45" s="99"/>
      <c r="K45" s="99"/>
      <c r="L45" s="99"/>
      <c r="M45" s="115"/>
      <c r="N45" s="115"/>
      <c r="O45" s="115"/>
      <c r="P45" s="115"/>
      <c r="Q45" s="115"/>
      <c r="R45" s="115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152">
        <v>1280</v>
      </c>
      <c r="E47" s="153" t="s">
        <v>19</v>
      </c>
      <c r="F47" s="118">
        <f>D47*67/100000</f>
        <v>0.85760000000000003</v>
      </c>
      <c r="G47" s="99"/>
      <c r="H47" s="99"/>
      <c r="I47" s="99"/>
      <c r="J47" s="99"/>
      <c r="K47" s="99"/>
      <c r="L47" s="115" t="s">
        <v>97</v>
      </c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152">
        <v>1280</v>
      </c>
      <c r="E48" s="153" t="s">
        <v>19</v>
      </c>
      <c r="F48" s="119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152">
        <v>1280</v>
      </c>
      <c r="E49" s="153" t="s">
        <v>19</v>
      </c>
      <c r="F49" s="118">
        <f>D49*500/100000</f>
        <v>6.4</v>
      </c>
      <c r="G49" s="99"/>
      <c r="H49" s="99"/>
      <c r="I49" s="99"/>
      <c r="J49" s="99"/>
      <c r="K49" s="99"/>
      <c r="L49" s="115" t="s">
        <v>97</v>
      </c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1280</v>
      </c>
      <c r="E50" s="95"/>
      <c r="F50" s="34">
        <f>SUM(F39:F49)</f>
        <v>7.2576000000000001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2130</v>
      </c>
      <c r="E64" s="106"/>
      <c r="F64" s="120">
        <f>+F63+F50+F37+F24</f>
        <v>53.107099999999996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18602</v>
      </c>
      <c r="E66" s="121" t="s">
        <v>19</v>
      </c>
      <c r="F66" s="33">
        <f>D66*0.0003</f>
        <v>5.5805999999999996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18602</v>
      </c>
      <c r="E67" s="95" t="s">
        <v>78</v>
      </c>
      <c r="F67" s="33">
        <f>D67*0.0003</f>
        <v>5.5805999999999996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18602</v>
      </c>
      <c r="E68" s="106"/>
      <c r="F68" s="34">
        <f>SUM(F66:F67)</f>
        <v>11.161199999999999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60072</v>
      </c>
      <c r="E69" s="204" t="s">
        <v>17</v>
      </c>
      <c r="F69" s="63">
        <v>90.11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61351</v>
      </c>
      <c r="E70" s="205"/>
      <c r="F70" s="56">
        <v>92.03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60609</v>
      </c>
      <c r="E71" s="205"/>
      <c r="F71" s="56">
        <v>90.91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59308</v>
      </c>
      <c r="E72" s="205"/>
      <c r="F72" s="56">
        <v>88.96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63407</v>
      </c>
      <c r="E73" s="206"/>
      <c r="F73" s="56">
        <v>95.11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304747</v>
      </c>
      <c r="E74" s="95"/>
      <c r="F74" s="54">
        <f>F69+F70+F71+F72+F73</f>
        <v>457.11999999999995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42828</v>
      </c>
      <c r="E75" s="204" t="s">
        <v>17</v>
      </c>
      <c r="F75" s="54">
        <v>107.07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38404</v>
      </c>
      <c r="E76" s="205"/>
      <c r="F76" s="54">
        <v>96.01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28137</v>
      </c>
      <c r="E77" s="206"/>
      <c r="F77" s="55">
        <v>70.94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109369</v>
      </c>
      <c r="E78" s="95"/>
      <c r="F78" s="36">
        <f>F75+F76+F77</f>
        <v>274.02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0.75" customHeight="1">
      <c r="A79" s="122"/>
      <c r="B79" s="123" t="s">
        <v>156</v>
      </c>
      <c r="C79" s="116" t="s">
        <v>37</v>
      </c>
      <c r="D79" s="66">
        <v>150</v>
      </c>
      <c r="E79" s="95" t="s">
        <v>19</v>
      </c>
      <c r="F79" s="33">
        <v>0.22500000000000001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36.75" customHeight="1">
      <c r="A80" s="95"/>
      <c r="B80" s="116" t="s">
        <v>157</v>
      </c>
      <c r="C80" s="116"/>
      <c r="D80" s="66">
        <v>450</v>
      </c>
      <c r="E80" s="95" t="s">
        <v>19</v>
      </c>
      <c r="F80" s="33">
        <v>0.67500000000000004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600</v>
      </c>
      <c r="E81" s="106"/>
      <c r="F81" s="120">
        <f>F80+F79</f>
        <v>0.9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414716</v>
      </c>
      <c r="E82" s="106"/>
      <c r="F82" s="120">
        <f>F81+F78+F74</f>
        <v>732.04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414116</v>
      </c>
      <c r="E85" s="172"/>
      <c r="F85" s="33">
        <v>103.52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9485</v>
      </c>
      <c r="E86" s="172"/>
      <c r="F86" s="33">
        <v>1.4219999999999999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1808</v>
      </c>
      <c r="E87" s="172"/>
      <c r="F87" s="33">
        <v>0.27100000000000002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1808</v>
      </c>
      <c r="E88" s="172"/>
      <c r="F88" s="33">
        <v>13.56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532</v>
      </c>
      <c r="E89" s="173"/>
      <c r="F89" s="33">
        <v>5.32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427749</v>
      </c>
      <c r="E90" s="106"/>
      <c r="F90" s="34">
        <f>SUM(F84:F89)</f>
        <v>124.09299999999999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57343</v>
      </c>
      <c r="E91" s="193" t="s">
        <v>35</v>
      </c>
      <c r="F91" s="117">
        <v>229.37200000000001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22788</v>
      </c>
      <c r="E92" s="193"/>
      <c r="F92" s="117">
        <v>91.152000000000001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879</v>
      </c>
      <c r="E93" s="193"/>
      <c r="F93" s="117">
        <v>3.516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87350</v>
      </c>
      <c r="E94" s="193"/>
      <c r="F94" s="117">
        <v>349.40000000000003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168360</v>
      </c>
      <c r="E95" s="106"/>
      <c r="F95" s="34">
        <f>SUM(F91:F94)</f>
        <v>673.44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1276</v>
      </c>
      <c r="E99" s="174" t="s">
        <v>19</v>
      </c>
      <c r="F99" s="33">
        <v>63.800000000000004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532</v>
      </c>
      <c r="E100" s="174"/>
      <c r="F100" s="33">
        <v>37.24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1808</v>
      </c>
      <c r="E101" s="106"/>
      <c r="F101" s="34">
        <f>SUM(F99:F100)</f>
        <v>101.04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1808</v>
      </c>
      <c r="E102" s="95" t="s">
        <v>19</v>
      </c>
      <c r="F102" s="33">
        <v>8.1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1808</v>
      </c>
      <c r="E103" s="106"/>
      <c r="F103" s="34">
        <f>F102</f>
        <v>8.1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/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1557</v>
      </c>
      <c r="E112" s="95" t="s">
        <v>19</v>
      </c>
      <c r="F112" s="135">
        <v>1.55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1808</v>
      </c>
      <c r="E113" s="95" t="s">
        <v>21</v>
      </c>
      <c r="F113" s="135">
        <v>2.7120000000000002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10</v>
      </c>
      <c r="E114" s="95" t="s">
        <v>21</v>
      </c>
      <c r="F114" s="135">
        <v>18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3377</v>
      </c>
      <c r="E116" s="106"/>
      <c r="F116" s="34">
        <f>SUM(F112:F115)</f>
        <v>23.512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121</v>
      </c>
      <c r="E119" s="95" t="s">
        <v>19</v>
      </c>
      <c r="F119" s="135">
        <v>7.5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123</v>
      </c>
      <c r="E120" s="106"/>
      <c r="F120" s="54">
        <f>SUM(F118:F119)</f>
        <v>10.5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10</v>
      </c>
      <c r="E121" s="95" t="s">
        <v>19</v>
      </c>
      <c r="F121" s="135">
        <v>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10</v>
      </c>
      <c r="E122" s="95" t="s">
        <v>19</v>
      </c>
      <c r="F122" s="135">
        <v>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10</v>
      </c>
      <c r="E123" s="106"/>
      <c r="F123" s="54">
        <f>SUM(F121:F122)</f>
        <v>8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110</v>
      </c>
      <c r="E124" s="95" t="s">
        <v>19</v>
      </c>
      <c r="F124" s="135">
        <v>11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110</v>
      </c>
      <c r="E125" s="95" t="s">
        <v>19</v>
      </c>
      <c r="F125" s="135">
        <v>13.2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110</v>
      </c>
      <c r="E126" s="106"/>
      <c r="F126" s="54">
        <f>SUM(F124:F125)</f>
        <v>24.2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325</v>
      </c>
      <c r="E133" s="95" t="s">
        <v>21</v>
      </c>
      <c r="F133" s="135">
        <v>9.75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325</v>
      </c>
      <c r="E134" s="106"/>
      <c r="F134" s="54">
        <f>F133+F132</f>
        <v>9.75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0</v>
      </c>
      <c r="E136" s="95" t="s">
        <v>19</v>
      </c>
      <c r="F136" s="135">
        <v>12.92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10</v>
      </c>
      <c r="E137" s="95" t="s">
        <v>19</v>
      </c>
      <c r="F137" s="135">
        <v>192.5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10</v>
      </c>
      <c r="E138" s="95" t="s">
        <v>19</v>
      </c>
      <c r="F138" s="135">
        <v>10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20</v>
      </c>
      <c r="E139" s="106"/>
      <c r="F139" s="54">
        <f>SUM(F136:F138)</f>
        <v>215.42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1039139</v>
      </c>
      <c r="E140" s="146"/>
      <c r="F140" s="148">
        <f>F10+F64+F68+F82+F90+F95+F98+F101+F103+F110+F116+F120+F123+F126+F130+F134+F139</f>
        <v>2008.8633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10:B10"/>
    <mergeCell ref="A12:A15"/>
    <mergeCell ref="A16:A19"/>
    <mergeCell ref="A20:A23"/>
    <mergeCell ref="A24:B24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79:R79"/>
    <mergeCell ref="P80:R80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179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 ht="31.5" customHeight="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750</v>
      </c>
      <c r="E17" s="95" t="s">
        <v>19</v>
      </c>
      <c r="F17" s="114">
        <f>D17*775/100000</f>
        <v>5.8125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750</v>
      </c>
      <c r="E18" s="95" t="s">
        <v>19</v>
      </c>
      <c r="F18" s="33">
        <f>D18*11220/100000</f>
        <v>84.15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750</v>
      </c>
      <c r="E19" s="95" t="s">
        <v>19</v>
      </c>
      <c r="F19" s="33">
        <f>D19*500/100000</f>
        <v>3.75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750</v>
      </c>
      <c r="E24" s="95"/>
      <c r="F24" s="34">
        <f>SUM(F13:F23)</f>
        <v>93.712500000000006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1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1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25.5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>
      <c r="A34" s="190"/>
      <c r="B34" s="111" t="s">
        <v>75</v>
      </c>
      <c r="C34" s="111" t="s">
        <v>42</v>
      </c>
      <c r="D34" s="65">
        <v>240</v>
      </c>
      <c r="E34" s="95" t="s">
        <v>19</v>
      </c>
      <c r="F34" s="114">
        <f>575*D34/100000</f>
        <v>1.38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15" customHeight="1">
      <c r="A35" s="190"/>
      <c r="B35" s="111" t="s">
        <v>76</v>
      </c>
      <c r="C35" s="111" t="s">
        <v>42</v>
      </c>
      <c r="D35" s="65">
        <v>240</v>
      </c>
      <c r="E35" s="95" t="s">
        <v>19</v>
      </c>
      <c r="F35" s="114">
        <f>7480*D35/100000</f>
        <v>17.952000000000002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>
      <c r="A36" s="191"/>
      <c r="B36" s="111" t="s">
        <v>96</v>
      </c>
      <c r="C36" s="111" t="s">
        <v>42</v>
      </c>
      <c r="D36" s="65">
        <v>240</v>
      </c>
      <c r="E36" s="95" t="s">
        <v>19</v>
      </c>
      <c r="F36" s="114">
        <f>500*D36/100000</f>
        <v>1.2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>
      <c r="A37" s="185" t="s">
        <v>159</v>
      </c>
      <c r="B37" s="187"/>
      <c r="C37" s="111"/>
      <c r="D37" s="94">
        <f>+D34+D30+D26</f>
        <v>240</v>
      </c>
      <c r="E37" s="95"/>
      <c r="F37" s="34">
        <f>SUM(F26:F36)</f>
        <v>20.532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1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1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1217</v>
      </c>
      <c r="E43" s="95" t="s">
        <v>19</v>
      </c>
      <c r="F43" s="117">
        <f>D43*67/100000</f>
        <v>0.81538999999999995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1217</v>
      </c>
      <c r="E45" s="95" t="s">
        <v>19</v>
      </c>
      <c r="F45" s="117">
        <f>D45*500/100000</f>
        <v>6.085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15" customHeight="1">
      <c r="A47" s="190"/>
      <c r="B47" s="111" t="s">
        <v>75</v>
      </c>
      <c r="C47" s="111" t="s">
        <v>42</v>
      </c>
      <c r="D47" s="65">
        <v>2764</v>
      </c>
      <c r="E47" s="95" t="s">
        <v>19</v>
      </c>
      <c r="F47" s="34">
        <f>D47*67/100000</f>
        <v>1.85188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2764</v>
      </c>
      <c r="E49" s="95" t="s">
        <v>19</v>
      </c>
      <c r="F49" s="34">
        <f>D49*500/100000</f>
        <v>13.82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3981</v>
      </c>
      <c r="E50" s="95"/>
      <c r="F50" s="34">
        <f>SUM(F39:F49)</f>
        <v>22.57227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1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4971</v>
      </c>
      <c r="E64" s="106"/>
      <c r="F64" s="120">
        <f>+F63+F50+F37+F24</f>
        <v>136.81677000000002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31293</v>
      </c>
      <c r="E66" s="121" t="s">
        <v>19</v>
      </c>
      <c r="F66" s="33">
        <f>D66*0.0003</f>
        <v>9.3878999999999984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31293</v>
      </c>
      <c r="E67" s="95" t="s">
        <v>78</v>
      </c>
      <c r="F67" s="33">
        <f>D67*0.0003</f>
        <v>9.3878999999999984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31293</v>
      </c>
      <c r="E68" s="106"/>
      <c r="F68" s="34">
        <f>SUM(F66:F67)</f>
        <v>18.775799999999997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30" customHeight="1">
      <c r="A69" s="171">
        <v>4</v>
      </c>
      <c r="B69" s="171" t="s">
        <v>154</v>
      </c>
      <c r="C69" s="95" t="s">
        <v>146</v>
      </c>
      <c r="D69" s="65">
        <v>111087</v>
      </c>
      <c r="E69" s="204" t="s">
        <v>17</v>
      </c>
      <c r="F69" s="63">
        <v>166.66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115977</v>
      </c>
      <c r="E70" s="205"/>
      <c r="F70" s="56">
        <v>173.96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123347</v>
      </c>
      <c r="E71" s="205"/>
      <c r="F71" s="56">
        <v>185.02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123245</v>
      </c>
      <c r="E72" s="205"/>
      <c r="F72" s="56">
        <v>184.86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112580</v>
      </c>
      <c r="E73" s="206"/>
      <c r="F73" s="56">
        <v>168.86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586236</v>
      </c>
      <c r="E74" s="95"/>
      <c r="F74" s="54">
        <f>F69+F70+F71+F72+F73</f>
        <v>879.36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97769</v>
      </c>
      <c r="E75" s="204" t="s">
        <v>17</v>
      </c>
      <c r="F75" s="54">
        <v>244.42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91149</v>
      </c>
      <c r="E76" s="205"/>
      <c r="F76" s="54">
        <v>227.87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70842</v>
      </c>
      <c r="E77" s="206"/>
      <c r="F77" s="55">
        <v>177.59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259760</v>
      </c>
      <c r="E78" s="95"/>
      <c r="F78" s="36">
        <f>F75+F76+F77</f>
        <v>649.88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270</v>
      </c>
      <c r="E79" s="95" t="s">
        <v>19</v>
      </c>
      <c r="F79" s="33">
        <v>0.52500000000000002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470</v>
      </c>
      <c r="E80" s="95" t="s">
        <v>19</v>
      </c>
      <c r="F80" s="33">
        <v>0.83</v>
      </c>
      <c r="G80" s="99"/>
      <c r="H80" s="99"/>
      <c r="I80" s="99"/>
      <c r="J80" s="99"/>
      <c r="K80" s="99"/>
      <c r="L80" s="99" t="s">
        <v>86</v>
      </c>
      <c r="M80" s="99" t="s">
        <v>87</v>
      </c>
      <c r="N80" s="99" t="s">
        <v>93</v>
      </c>
      <c r="O80" s="99"/>
      <c r="P80" s="184" t="s">
        <v>92</v>
      </c>
      <c r="Q80" s="184"/>
      <c r="R80" s="184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740</v>
      </c>
      <c r="E81" s="106"/>
      <c r="F81" s="120">
        <f>F80+F79</f>
        <v>1.355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846736</v>
      </c>
      <c r="E82" s="106"/>
      <c r="F82" s="120">
        <f>F81+F78+F74</f>
        <v>1530.595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32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3.75" customHeight="1">
      <c r="A85" s="95"/>
      <c r="B85" s="116" t="s">
        <v>84</v>
      </c>
      <c r="C85" s="116" t="s">
        <v>42</v>
      </c>
      <c r="D85" s="66">
        <v>845996</v>
      </c>
      <c r="E85" s="172"/>
      <c r="F85" s="33">
        <v>211.499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15860</v>
      </c>
      <c r="E86" s="172"/>
      <c r="F86" s="33">
        <v>2.379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3659</v>
      </c>
      <c r="E87" s="172"/>
      <c r="F87" s="33">
        <v>0.54800000000000004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3659</v>
      </c>
      <c r="E88" s="172"/>
      <c r="F88" s="33">
        <v>27.44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1027</v>
      </c>
      <c r="E89" s="173"/>
      <c r="F89" s="33">
        <v>10.27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870201</v>
      </c>
      <c r="E90" s="106"/>
      <c r="F90" s="34">
        <f>SUM(F84:F89)</f>
        <v>252.136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112688</v>
      </c>
      <c r="E91" s="193" t="s">
        <v>35</v>
      </c>
      <c r="F91" s="117">
        <v>450.75200000000001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54317</v>
      </c>
      <c r="E92" s="193"/>
      <c r="F92" s="117">
        <v>217.268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244</v>
      </c>
      <c r="E93" s="193"/>
      <c r="F93" s="117">
        <v>0.97599999999999998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146105</v>
      </c>
      <c r="E94" s="193"/>
      <c r="F94" s="117">
        <v>584.41999999999996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313354</v>
      </c>
      <c r="E95" s="106"/>
      <c r="F95" s="34">
        <f>SUM(F91:F94)</f>
        <v>1253.4159999999999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2632</v>
      </c>
      <c r="E99" s="174" t="s">
        <v>19</v>
      </c>
      <c r="F99" s="33">
        <v>131.6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1027</v>
      </c>
      <c r="E100" s="174"/>
      <c r="F100" s="33">
        <v>71.89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3659</v>
      </c>
      <c r="E101" s="106"/>
      <c r="F101" s="34">
        <f>SUM(F99:F100)</f>
        <v>203.49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3659</v>
      </c>
      <c r="E102" s="95" t="s">
        <v>19</v>
      </c>
      <c r="F102" s="33">
        <v>16.399999999999999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3659</v>
      </c>
      <c r="E103" s="106"/>
      <c r="F103" s="34">
        <f>F102</f>
        <v>16.399999999999999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0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3659</v>
      </c>
      <c r="E112" s="95" t="s">
        <v>19</v>
      </c>
      <c r="F112" s="135">
        <v>3.6589999999999998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3659</v>
      </c>
      <c r="E113" s="95" t="s">
        <v>21</v>
      </c>
      <c r="F113" s="135">
        <v>5.4889999999999999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20</v>
      </c>
      <c r="E114" s="95" t="s">
        <v>21</v>
      </c>
      <c r="F114" s="135">
        <v>36</v>
      </c>
      <c r="G114" s="12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7340</v>
      </c>
      <c r="E116" s="106"/>
      <c r="F116" s="34">
        <f>SUM(F112:F115)</f>
        <v>46.397999999999996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218</v>
      </c>
      <c r="E119" s="95" t="s">
        <v>19</v>
      </c>
      <c r="F119" s="135">
        <v>13.6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220</v>
      </c>
      <c r="E120" s="106"/>
      <c r="F120" s="54">
        <f>SUM(F118:F119)</f>
        <v>16.600000000000001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20</v>
      </c>
      <c r="E121" s="95" t="s">
        <v>19</v>
      </c>
      <c r="F121" s="135">
        <v>10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20</v>
      </c>
      <c r="E122" s="95" t="s">
        <v>19</v>
      </c>
      <c r="F122" s="135">
        <v>6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20</v>
      </c>
      <c r="E123" s="106"/>
      <c r="F123" s="54">
        <f>SUM(F121:F122)</f>
        <v>16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197</v>
      </c>
      <c r="E124" s="95" t="s">
        <v>19</v>
      </c>
      <c r="F124" s="135">
        <v>19.700000000000003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197</v>
      </c>
      <c r="E125" s="95" t="s">
        <v>19</v>
      </c>
      <c r="F125" s="135">
        <v>23.64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197</v>
      </c>
      <c r="E126" s="106"/>
      <c r="F126" s="54">
        <f>SUM(F124:F125)</f>
        <v>43.34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1738</v>
      </c>
      <c r="E133" s="95" t="s">
        <v>21</v>
      </c>
      <c r="F133" s="135">
        <v>52.14</v>
      </c>
      <c r="G133" s="133" t="s">
        <v>97</v>
      </c>
      <c r="H133" s="133" t="s">
        <v>97</v>
      </c>
      <c r="I133" s="133" t="s">
        <v>97</v>
      </c>
      <c r="J133" s="133" t="s">
        <v>97</v>
      </c>
      <c r="K133" s="133" t="s">
        <v>97</v>
      </c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1738</v>
      </c>
      <c r="E134" s="106"/>
      <c r="F134" s="54">
        <f>F133+F132</f>
        <v>52.14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6</v>
      </c>
      <c r="E136" s="95" t="s">
        <v>19</v>
      </c>
      <c r="F136" s="135">
        <v>4.5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20</v>
      </c>
      <c r="E137" s="95" t="s">
        <v>19</v>
      </c>
      <c r="F137" s="135">
        <v>385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20</v>
      </c>
      <c r="E138" s="95" t="s">
        <v>19</v>
      </c>
      <c r="F138" s="135">
        <v>20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46</v>
      </c>
      <c r="E139" s="106"/>
      <c r="F139" s="54">
        <f>SUM(F136:F138)</f>
        <v>409.5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2083435</v>
      </c>
      <c r="E140" s="146"/>
      <c r="F140" s="148">
        <f>F10+F64+F68+F82+F90+F95+F98+F101+F103+F110+F116+F120+F123+F126+F130+F134+F139</f>
        <v>4018.1075699999997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79:R79"/>
    <mergeCell ref="P80:R80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39370078740157483" right="0.19685039370078741" top="0.35433070866141736" bottom="0.23622047244094491" header="0.23622047244094491" footer="0.15748031496062992"/>
  <pageSetup paperSize="9" orientation="landscape" r:id="rId1"/>
  <rowBreaks count="2" manualBreakCount="2">
    <brk id="38" max="16383" man="1"/>
    <brk id="53" max="1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9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111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240</v>
      </c>
      <c r="E17" s="95" t="s">
        <v>19</v>
      </c>
      <c r="F17" s="114">
        <f>D17*775/100000</f>
        <v>1.86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240</v>
      </c>
      <c r="E18" s="95" t="s">
        <v>19</v>
      </c>
      <c r="F18" s="33">
        <f>D18*11220/100000</f>
        <v>26.928000000000001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240</v>
      </c>
      <c r="E19" s="95" t="s">
        <v>19</v>
      </c>
      <c r="F19" s="33">
        <f>D19*500/100000</f>
        <v>1.2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240</v>
      </c>
      <c r="E24" s="95"/>
      <c r="F24" s="34">
        <f>SUM(F13:F23)</f>
        <v>29.988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/>
      <c r="E34" s="95" t="s">
        <v>19</v>
      </c>
      <c r="F34" s="114"/>
      <c r="G34" s="106"/>
      <c r="H34" s="106"/>
      <c r="I34" s="106"/>
      <c r="J34" s="106"/>
      <c r="K34" s="106"/>
      <c r="L34" s="106"/>
      <c r="M34" s="115"/>
      <c r="N34" s="115"/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/>
      <c r="E35" s="95" t="s">
        <v>19</v>
      </c>
      <c r="F35" s="33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65"/>
      <c r="E36" s="95" t="s">
        <v>19</v>
      </c>
      <c r="F36" s="33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0</v>
      </c>
      <c r="E37" s="95"/>
      <c r="F37" s="34">
        <f>SUM(F26:F36)</f>
        <v>0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/>
      <c r="E43" s="95" t="s">
        <v>19</v>
      </c>
      <c r="F43" s="11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/>
      <c r="E45" s="95" t="s">
        <v>19</v>
      </c>
      <c r="F45" s="117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1356</v>
      </c>
      <c r="E47" s="95" t="s">
        <v>19</v>
      </c>
      <c r="F47" s="34">
        <f>D47*67/100000</f>
        <v>0.90851999999999999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1356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1356</v>
      </c>
      <c r="E49" s="95" t="s">
        <v>19</v>
      </c>
      <c r="F49" s="34">
        <f>D49*500/100000</f>
        <v>6.78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1356</v>
      </c>
      <c r="E50" s="95"/>
      <c r="F50" s="34">
        <f>SUM(F39:F49)</f>
        <v>7.6885200000000005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1596</v>
      </c>
      <c r="E64" s="106"/>
      <c r="F64" s="120">
        <f>+F63+F50+F37+F24</f>
        <v>37.676519999999996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27305</v>
      </c>
      <c r="E66" s="121" t="s">
        <v>19</v>
      </c>
      <c r="F66" s="33">
        <f>D66*0.0003</f>
        <v>8.1914999999999996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27305</v>
      </c>
      <c r="E67" s="95" t="s">
        <v>78</v>
      </c>
      <c r="F67" s="33">
        <f>D67*0.0003</f>
        <v>8.1914999999999996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27305</v>
      </c>
      <c r="E68" s="106"/>
      <c r="F68" s="34">
        <f>SUM(F66:F67)</f>
        <v>16.382999999999999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106092</v>
      </c>
      <c r="E69" s="204" t="s">
        <v>17</v>
      </c>
      <c r="F69" s="63">
        <v>159.13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104335</v>
      </c>
      <c r="E70" s="205"/>
      <c r="F70" s="56">
        <v>156.5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104955</v>
      </c>
      <c r="E71" s="205"/>
      <c r="F71" s="56">
        <v>157.43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104717</v>
      </c>
      <c r="E72" s="205"/>
      <c r="F72" s="56">
        <v>157.07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102457</v>
      </c>
      <c r="E73" s="206"/>
      <c r="F73" s="56">
        <v>153.68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522556</v>
      </c>
      <c r="E74" s="95"/>
      <c r="F74" s="54">
        <f>F69+F70+F71+F72+F73</f>
        <v>783.81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90118</v>
      </c>
      <c r="E75" s="204" t="s">
        <v>17</v>
      </c>
      <c r="F75" s="54">
        <v>225.29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85622</v>
      </c>
      <c r="E76" s="205"/>
      <c r="F76" s="54">
        <v>214.05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74005</v>
      </c>
      <c r="E77" s="206"/>
      <c r="F77" s="55">
        <v>185.04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249745</v>
      </c>
      <c r="E78" s="95"/>
      <c r="F78" s="36">
        <f>F75+F76+F77</f>
        <v>624.38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772301</v>
      </c>
      <c r="E82" s="106"/>
      <c r="F82" s="120">
        <f>F81+F78+F74</f>
        <v>1408.19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7.7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772301</v>
      </c>
      <c r="E85" s="172"/>
      <c r="F85" s="33">
        <v>193.07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14643</v>
      </c>
      <c r="E86" s="172"/>
      <c r="F86" s="33">
        <v>2.19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3734</v>
      </c>
      <c r="E87" s="172"/>
      <c r="F87" s="33">
        <v>0.56000000000000005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3734</v>
      </c>
      <c r="E88" s="172"/>
      <c r="F88" s="33">
        <v>28.004999999999999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1123</v>
      </c>
      <c r="E89" s="173"/>
      <c r="F89" s="33">
        <v>11.23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795535</v>
      </c>
      <c r="E90" s="106"/>
      <c r="F90" s="34">
        <f>SUM(F84:F89)</f>
        <v>235.05499999999998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105479</v>
      </c>
      <c r="E91" s="193" t="s">
        <v>35</v>
      </c>
      <c r="F91" s="117">
        <v>421.916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34065</v>
      </c>
      <c r="E92" s="193"/>
      <c r="F92" s="117">
        <v>136.26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3706</v>
      </c>
      <c r="E93" s="193"/>
      <c r="F93" s="117">
        <v>14.824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148966</v>
      </c>
      <c r="E94" s="193"/>
      <c r="F94" s="117">
        <v>595.86400000000003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292216</v>
      </c>
      <c r="E95" s="106"/>
      <c r="F95" s="34">
        <f>SUM(F91:F94)</f>
        <v>1168.864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2611</v>
      </c>
      <c r="E99" s="174" t="s">
        <v>19</v>
      </c>
      <c r="F99" s="33">
        <v>130.55000000000001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1123</v>
      </c>
      <c r="E100" s="174"/>
      <c r="F100" s="33">
        <v>78.610000000000014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3734</v>
      </c>
      <c r="E101" s="106"/>
      <c r="F101" s="34">
        <f>SUM(F99:F100)</f>
        <v>209.16000000000003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3734</v>
      </c>
      <c r="E102" s="95" t="s">
        <v>19</v>
      </c>
      <c r="F102" s="33">
        <v>16.73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3734</v>
      </c>
      <c r="E103" s="106"/>
      <c r="F103" s="34">
        <f>F102</f>
        <v>16.73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>
        <v>0</v>
      </c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2800</v>
      </c>
      <c r="E112" s="95" t="s">
        <v>19</v>
      </c>
      <c r="F112" s="135">
        <v>2.8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3734</v>
      </c>
      <c r="E113" s="95" t="s">
        <v>21</v>
      </c>
      <c r="F113" s="135">
        <v>5.601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20</v>
      </c>
      <c r="E114" s="95" t="s">
        <v>21</v>
      </c>
      <c r="F114" s="135">
        <v>36</v>
      </c>
      <c r="G114" s="98"/>
      <c r="H114" s="98"/>
      <c r="I114" s="98"/>
      <c r="J114" s="98"/>
      <c r="K114" s="99" t="s">
        <v>97</v>
      </c>
      <c r="L114" s="99" t="s">
        <v>97</v>
      </c>
      <c r="M114" s="99" t="s">
        <v>97</v>
      </c>
      <c r="N114" s="98"/>
      <c r="O114" s="98"/>
      <c r="P114" s="98"/>
      <c r="Q114" s="98"/>
      <c r="R114" s="9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 t="s">
        <v>21</v>
      </c>
      <c r="F115" s="135">
        <v>1.25</v>
      </c>
      <c r="G115" s="98"/>
      <c r="H115" s="98"/>
      <c r="I115" s="98"/>
      <c r="J115" s="98"/>
      <c r="K115" s="99" t="s">
        <v>97</v>
      </c>
      <c r="L115" s="99" t="s">
        <v>97</v>
      </c>
      <c r="M115" s="99" t="s">
        <v>97</v>
      </c>
      <c r="N115" s="98"/>
      <c r="O115" s="98"/>
      <c r="P115" s="98"/>
      <c r="Q115" s="98"/>
      <c r="R115" s="9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6556</v>
      </c>
      <c r="E116" s="106"/>
      <c r="F116" s="34">
        <f>SUM(F112:F115)</f>
        <v>45.650999999999996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226</v>
      </c>
      <c r="E119" s="95" t="s">
        <v>19</v>
      </c>
      <c r="F119" s="135">
        <v>14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228</v>
      </c>
      <c r="E120" s="106"/>
      <c r="F120" s="54">
        <f>SUM(F118:F119)</f>
        <v>17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20</v>
      </c>
      <c r="E121" s="95" t="s">
        <v>19</v>
      </c>
      <c r="F121" s="135">
        <v>10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20</v>
      </c>
      <c r="E122" s="95" t="s">
        <v>19</v>
      </c>
      <c r="F122" s="135">
        <v>6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20</v>
      </c>
      <c r="E123" s="106"/>
      <c r="F123" s="54">
        <f>SUM(F121:F122)</f>
        <v>16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205</v>
      </c>
      <c r="E124" s="95" t="s">
        <v>19</v>
      </c>
      <c r="F124" s="135">
        <v>20.5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205</v>
      </c>
      <c r="E125" s="95" t="s">
        <v>19</v>
      </c>
      <c r="F125" s="135">
        <v>24.599999999999998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205</v>
      </c>
      <c r="E126" s="106"/>
      <c r="F126" s="54">
        <f>SUM(F124:F125)</f>
        <v>45.099999999999994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98"/>
      <c r="H132" s="98"/>
      <c r="I132" s="98"/>
      <c r="J132" s="98"/>
      <c r="K132" s="98"/>
      <c r="L132" s="99"/>
      <c r="M132" s="99"/>
      <c r="N132" s="99"/>
      <c r="O132" s="99"/>
      <c r="P132" s="99"/>
      <c r="Q132" s="99"/>
      <c r="R132" s="98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764</v>
      </c>
      <c r="E133" s="95" t="s">
        <v>21</v>
      </c>
      <c r="F133" s="135">
        <v>22.92</v>
      </c>
      <c r="G133" s="98"/>
      <c r="H133" s="98"/>
      <c r="I133" s="98"/>
      <c r="J133" s="98"/>
      <c r="K133" s="98"/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98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764</v>
      </c>
      <c r="E134" s="106"/>
      <c r="F134" s="54">
        <f>F133+F132</f>
        <v>22.92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5</v>
      </c>
      <c r="E136" s="95" t="s">
        <v>19</v>
      </c>
      <c r="F136" s="135">
        <v>38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20</v>
      </c>
      <c r="E137" s="95" t="s">
        <v>19</v>
      </c>
      <c r="F137" s="135">
        <v>385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20</v>
      </c>
      <c r="E138" s="95" t="s">
        <v>19</v>
      </c>
      <c r="F138" s="135">
        <v>20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45</v>
      </c>
      <c r="E139" s="106"/>
      <c r="F139" s="54">
        <f>SUM(F136:F138)</f>
        <v>443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1904240</v>
      </c>
      <c r="E140" s="146"/>
      <c r="F140" s="148">
        <f>F10+F64+F68+F82+F90+F95+F98+F101+F103+F110+F116+F120+F123+F126+F130+F134+F139</f>
        <v>3704.2295199999999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.196850393700787" right="0.31496062992126" top="0.47244094488188998" bottom="0.31496062992126" header="0.27559055118110198" footer="0.15748031496063"/>
  <pageSetup paperSize="9" scale="65" orientation="landscape" r:id="rId1"/>
  <rowBreaks count="2" manualBreakCount="2">
    <brk id="35" max="17" man="1"/>
    <brk id="64" max="17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72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180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 ht="31.5" customHeight="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 ht="30.75" customHeight="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 ht="28.5" customHeight="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 ht="33.75" customHeight="1">
      <c r="A17" s="190"/>
      <c r="B17" s="111" t="s">
        <v>75</v>
      </c>
      <c r="C17" s="111" t="s">
        <v>42</v>
      </c>
      <c r="D17" s="65"/>
      <c r="E17" s="95" t="s">
        <v>19</v>
      </c>
      <c r="F17" s="114"/>
      <c r="G17" s="106"/>
      <c r="H17" s="106"/>
      <c r="I17" s="106"/>
      <c r="J17" s="106"/>
      <c r="K17" s="106"/>
      <c r="L17" s="106"/>
      <c r="M17" s="115"/>
      <c r="N17" s="115"/>
      <c r="O17" s="115"/>
      <c r="P17" s="115"/>
      <c r="Q17" s="115"/>
      <c r="R17" s="115"/>
    </row>
    <row r="18" spans="1:18">
      <c r="A18" s="190"/>
      <c r="B18" s="111" t="s">
        <v>76</v>
      </c>
      <c r="C18" s="111" t="s">
        <v>42</v>
      </c>
      <c r="D18" s="65"/>
      <c r="E18" s="95" t="s">
        <v>19</v>
      </c>
      <c r="F18" s="33"/>
      <c r="G18" s="106"/>
      <c r="H18" s="106"/>
      <c r="I18" s="106"/>
      <c r="J18" s="106"/>
      <c r="K18" s="106"/>
      <c r="L18" s="106"/>
      <c r="M18" s="115"/>
      <c r="N18" s="115"/>
      <c r="O18" s="115"/>
      <c r="P18" s="115"/>
      <c r="Q18" s="115"/>
      <c r="R18" s="115"/>
    </row>
    <row r="19" spans="1:18" ht="15" customHeight="1">
      <c r="A19" s="191"/>
      <c r="B19" s="111" t="s">
        <v>96</v>
      </c>
      <c r="C19" s="111" t="s">
        <v>42</v>
      </c>
      <c r="D19" s="65"/>
      <c r="E19" s="95" t="s">
        <v>19</v>
      </c>
      <c r="F19" s="33"/>
      <c r="G19" s="106"/>
      <c r="H19" s="106"/>
      <c r="I19" s="106"/>
      <c r="J19" s="106"/>
      <c r="K19" s="106"/>
      <c r="L19" s="106"/>
      <c r="M19" s="115"/>
      <c r="N19" s="115"/>
      <c r="O19" s="115"/>
      <c r="P19" s="115"/>
      <c r="Q19" s="115"/>
      <c r="R19" s="115"/>
    </row>
    <row r="20" spans="1:18" ht="45" customHeight="1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152">
        <v>544</v>
      </c>
      <c r="E21" s="153" t="s">
        <v>19</v>
      </c>
      <c r="F21" s="118">
        <f>D21*575/100000</f>
        <v>3.1280000000000001</v>
      </c>
      <c r="G21" s="106"/>
      <c r="H21" s="106"/>
      <c r="I21" s="106"/>
      <c r="J21" s="106"/>
      <c r="K21" s="106"/>
      <c r="L21" s="106"/>
      <c r="M21" s="115" t="s">
        <v>97</v>
      </c>
      <c r="N21" s="115" t="s">
        <v>97</v>
      </c>
      <c r="O21" s="115" t="s">
        <v>97</v>
      </c>
      <c r="P21" s="115" t="s">
        <v>97</v>
      </c>
      <c r="Q21" s="115" t="s">
        <v>97</v>
      </c>
      <c r="R21" s="106"/>
    </row>
    <row r="22" spans="1:18">
      <c r="A22" s="190"/>
      <c r="B22" s="111" t="s">
        <v>76</v>
      </c>
      <c r="C22" s="111" t="s">
        <v>42</v>
      </c>
      <c r="D22" s="152">
        <v>544</v>
      </c>
      <c r="E22" s="153" t="s">
        <v>19</v>
      </c>
      <c r="F22" s="154">
        <f>D22*7480/100000</f>
        <v>40.691200000000002</v>
      </c>
      <c r="G22" s="106"/>
      <c r="H22" s="106"/>
      <c r="I22" s="106"/>
      <c r="J22" s="106"/>
      <c r="K22" s="106"/>
      <c r="L22" s="106"/>
      <c r="M22" s="115" t="s">
        <v>97</v>
      </c>
      <c r="N22" s="115" t="s">
        <v>97</v>
      </c>
      <c r="O22" s="115" t="s">
        <v>97</v>
      </c>
      <c r="P22" s="115" t="s">
        <v>97</v>
      </c>
      <c r="Q22" s="115" t="s">
        <v>97</v>
      </c>
      <c r="R22" s="106"/>
    </row>
    <row r="23" spans="1:18" ht="15" customHeight="1">
      <c r="A23" s="191"/>
      <c r="B23" s="111" t="s">
        <v>96</v>
      </c>
      <c r="C23" s="111" t="s">
        <v>42</v>
      </c>
      <c r="D23" s="152">
        <v>544</v>
      </c>
      <c r="E23" s="153" t="s">
        <v>19</v>
      </c>
      <c r="F23" s="154">
        <f>1068*500/100000</f>
        <v>5.34</v>
      </c>
      <c r="G23" s="106"/>
      <c r="H23" s="106"/>
      <c r="I23" s="106"/>
      <c r="J23" s="106"/>
      <c r="K23" s="106"/>
      <c r="L23" s="106"/>
      <c r="M23" s="115" t="s">
        <v>97</v>
      </c>
      <c r="N23" s="115" t="s">
        <v>97</v>
      </c>
      <c r="O23" s="115" t="s">
        <v>97</v>
      </c>
      <c r="P23" s="115" t="s">
        <v>97</v>
      </c>
      <c r="Q23" s="115" t="s">
        <v>97</v>
      </c>
      <c r="R23" s="106"/>
    </row>
    <row r="24" spans="1:18">
      <c r="A24" s="185" t="s">
        <v>158</v>
      </c>
      <c r="B24" s="187"/>
      <c r="C24" s="111"/>
      <c r="D24" s="155">
        <f>+D21+D17+D13</f>
        <v>544</v>
      </c>
      <c r="E24" s="153"/>
      <c r="F24" s="156">
        <f>SUM(F13:F23)</f>
        <v>49.159199999999998</v>
      </c>
      <c r="G24" s="106"/>
      <c r="H24" s="106"/>
      <c r="I24" s="106"/>
      <c r="J24" s="106"/>
      <c r="K24" s="106"/>
      <c r="L24" s="106"/>
      <c r="M24" s="115"/>
      <c r="N24" s="115"/>
      <c r="O24" s="115"/>
      <c r="P24" s="115"/>
      <c r="Q24" s="115"/>
      <c r="R24" s="106"/>
    </row>
    <row r="25" spans="1:18" ht="60" customHeight="1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185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152">
        <v>500</v>
      </c>
      <c r="E34" s="153" t="s">
        <v>19</v>
      </c>
      <c r="F34" s="118">
        <f>D34*67/100000</f>
        <v>0.33500000000000002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15" t="s">
        <v>97</v>
      </c>
      <c r="P34" s="115" t="s">
        <v>97</v>
      </c>
      <c r="Q34" s="115" t="s">
        <v>97</v>
      </c>
      <c r="R34" s="115" t="s">
        <v>97</v>
      </c>
    </row>
    <row r="35" spans="1:21" ht="25.5" customHeight="1">
      <c r="A35" s="190"/>
      <c r="B35" s="111" t="s">
        <v>76</v>
      </c>
      <c r="C35" s="111" t="s">
        <v>42</v>
      </c>
      <c r="D35" s="152"/>
      <c r="E35" s="153" t="s">
        <v>19</v>
      </c>
      <c r="F35" s="118">
        <v>0</v>
      </c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152"/>
      <c r="E36" s="153" t="s">
        <v>19</v>
      </c>
      <c r="F36" s="118">
        <v>0</v>
      </c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500</v>
      </c>
      <c r="E37" s="95"/>
      <c r="F37" s="34">
        <f>SUM(F26:F36)</f>
        <v>0.33500000000000002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152">
        <v>606</v>
      </c>
      <c r="E43" s="153" t="s">
        <v>19</v>
      </c>
      <c r="F43" s="154">
        <f>D43*67/100000</f>
        <v>0.40601999999999999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152">
        <v>0</v>
      </c>
      <c r="E44" s="153" t="s">
        <v>19</v>
      </c>
      <c r="F44" s="154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152">
        <v>606</v>
      </c>
      <c r="E45" s="153" t="s">
        <v>19</v>
      </c>
      <c r="F45" s="154">
        <f>D45*500/100000</f>
        <v>3.03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152">
        <v>2853</v>
      </c>
      <c r="E47" s="153" t="s">
        <v>19</v>
      </c>
      <c r="F47" s="156">
        <f>D47*67/100000</f>
        <v>1.91151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152">
        <v>2853</v>
      </c>
      <c r="E48" s="153" t="s">
        <v>19</v>
      </c>
      <c r="F48" s="156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152">
        <v>2853</v>
      </c>
      <c r="E49" s="153" t="s">
        <v>19</v>
      </c>
      <c r="F49" s="156">
        <f>D49*500/100000</f>
        <v>14.265000000000001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3459</v>
      </c>
      <c r="E50" s="95"/>
      <c r="F50" s="34">
        <f>SUM(F39:F49)</f>
        <v>19.61253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45" customHeight="1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 ht="45" customHeight="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4503</v>
      </c>
      <c r="E64" s="106"/>
      <c r="F64" s="120">
        <f>+F63+F50+F37+F24</f>
        <v>69.106729999999999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4396</v>
      </c>
      <c r="E66" s="121" t="s">
        <v>19</v>
      </c>
      <c r="F66" s="33">
        <f>D66*0.0003</f>
        <v>1.3188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7396</v>
      </c>
      <c r="E67" s="95" t="s">
        <v>78</v>
      </c>
      <c r="F67" s="33">
        <f>D67*0.0003</f>
        <v>2.2187999999999999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4396</v>
      </c>
      <c r="E68" s="106"/>
      <c r="F68" s="34">
        <f>SUM(F66:F67)</f>
        <v>3.5375999999999999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30" customHeight="1">
      <c r="A69" s="171">
        <v>4</v>
      </c>
      <c r="B69" s="171" t="s">
        <v>154</v>
      </c>
      <c r="C69" s="95" t="s">
        <v>146</v>
      </c>
      <c r="D69" s="65">
        <v>19970</v>
      </c>
      <c r="E69" s="204" t="s">
        <v>17</v>
      </c>
      <c r="F69" s="63">
        <v>29.95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18351</v>
      </c>
      <c r="E70" s="205"/>
      <c r="F70" s="56">
        <v>27.53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18444</v>
      </c>
      <c r="E71" s="205"/>
      <c r="F71" s="56">
        <v>27.67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18032</v>
      </c>
      <c r="E72" s="205"/>
      <c r="F72" s="56">
        <v>27.05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16813</v>
      </c>
      <c r="E73" s="206"/>
      <c r="F73" s="56">
        <v>25.22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91610</v>
      </c>
      <c r="E74" s="95"/>
      <c r="F74" s="54">
        <f>F69+F70+F71+F72+F73</f>
        <v>137.42000000000002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13804</v>
      </c>
      <c r="E75" s="204" t="s">
        <v>17</v>
      </c>
      <c r="F75" s="54">
        <v>34.51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13594</v>
      </c>
      <c r="E76" s="205"/>
      <c r="F76" s="54">
        <v>33.979999999999997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10331</v>
      </c>
      <c r="E77" s="206"/>
      <c r="F77" s="55">
        <v>25.83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37729</v>
      </c>
      <c r="E78" s="95"/>
      <c r="F78" s="36">
        <f>F75+F76+F77</f>
        <v>94.32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1.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30.7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129339</v>
      </c>
      <c r="E82" s="106"/>
      <c r="F82" s="120">
        <f>F81+F78+F74</f>
        <v>231.74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32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8.5" customHeight="1">
      <c r="A85" s="95"/>
      <c r="B85" s="116" t="s">
        <v>84</v>
      </c>
      <c r="C85" s="116" t="s">
        <v>42</v>
      </c>
      <c r="D85" s="66">
        <v>129339</v>
      </c>
      <c r="E85" s="172"/>
      <c r="F85" s="33">
        <v>32.33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2447</v>
      </c>
      <c r="E86" s="172"/>
      <c r="F86" s="33">
        <v>0.36699999999999999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747</v>
      </c>
      <c r="E87" s="172"/>
      <c r="F87" s="33">
        <v>0.112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747</v>
      </c>
      <c r="E88" s="172"/>
      <c r="F88" s="33">
        <v>5.6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240</v>
      </c>
      <c r="E89" s="173"/>
      <c r="F89" s="33">
        <v>2.4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133520</v>
      </c>
      <c r="E90" s="106"/>
      <c r="F90" s="34">
        <f>SUM(F84:F89)</f>
        <v>40.808999999999997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18473</v>
      </c>
      <c r="E91" s="193" t="s">
        <v>35</v>
      </c>
      <c r="F91" s="117">
        <v>73.891999999999996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10249</v>
      </c>
      <c r="E92" s="193"/>
      <c r="F92" s="117">
        <v>40.996000000000002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44</v>
      </c>
      <c r="E93" s="193"/>
      <c r="F93" s="117">
        <v>0.17599999999999999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22721</v>
      </c>
      <c r="E94" s="193"/>
      <c r="F94" s="117">
        <v>90.884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51487</v>
      </c>
      <c r="E95" s="106"/>
      <c r="F95" s="34">
        <f>SUM(F91:F94)</f>
        <v>205.94800000000001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507</v>
      </c>
      <c r="E99" s="174" t="s">
        <v>19</v>
      </c>
      <c r="F99" s="33">
        <v>25.35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240</v>
      </c>
      <c r="E100" s="174"/>
      <c r="F100" s="33">
        <v>16.8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747</v>
      </c>
      <c r="E101" s="106"/>
      <c r="F101" s="34">
        <f>SUM(F99:F100)</f>
        <v>42.150000000000006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747</v>
      </c>
      <c r="E102" s="95" t="s">
        <v>19</v>
      </c>
      <c r="F102" s="33">
        <v>3.35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747</v>
      </c>
      <c r="E103" s="106"/>
      <c r="F103" s="34">
        <f>F102</f>
        <v>3.35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/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509</v>
      </c>
      <c r="E112" s="95" t="s">
        <v>19</v>
      </c>
      <c r="F112" s="135">
        <v>0.50900000000000001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747</v>
      </c>
      <c r="E113" s="95" t="s">
        <v>21</v>
      </c>
      <c r="F113" s="135">
        <v>1.121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6</v>
      </c>
      <c r="E114" s="95" t="s">
        <v>21</v>
      </c>
      <c r="F114" s="135">
        <v>2.7</v>
      </c>
      <c r="G114" s="99"/>
      <c r="H114" s="99"/>
      <c r="I114" s="99"/>
      <c r="J114" s="99"/>
      <c r="K114" s="99" t="s">
        <v>97</v>
      </c>
      <c r="L114" s="99" t="s">
        <v>97</v>
      </c>
      <c r="M114" s="99" t="s">
        <v>97</v>
      </c>
      <c r="N114" s="99"/>
      <c r="O114" s="99"/>
      <c r="P114" s="99"/>
      <c r="Q114" s="99"/>
      <c r="R114" s="99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99"/>
      <c r="H115" s="99"/>
      <c r="I115" s="99"/>
      <c r="J115" s="99"/>
      <c r="K115" s="99" t="s">
        <v>97</v>
      </c>
      <c r="L115" s="99" t="s">
        <v>97</v>
      </c>
      <c r="M115" s="99" t="s">
        <v>97</v>
      </c>
      <c r="N115" s="99"/>
      <c r="O115" s="99"/>
      <c r="P115" s="99"/>
      <c r="Q115" s="99"/>
      <c r="R115" s="99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1264</v>
      </c>
      <c r="E116" s="106"/>
      <c r="F116" s="34">
        <f>SUM(F112:F115)</f>
        <v>5.58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49</v>
      </c>
      <c r="E119" s="95" t="s">
        <v>19</v>
      </c>
      <c r="F119" s="135">
        <v>3.5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51</v>
      </c>
      <c r="E120" s="106"/>
      <c r="F120" s="54">
        <f>SUM(F118:F119)</f>
        <v>6.5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6</v>
      </c>
      <c r="E121" s="95" t="s">
        <v>19</v>
      </c>
      <c r="F121" s="135">
        <v>3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6</v>
      </c>
      <c r="E122" s="95" t="s">
        <v>19</v>
      </c>
      <c r="F122" s="135">
        <v>1.8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6</v>
      </c>
      <c r="E123" s="106"/>
      <c r="F123" s="54">
        <f>SUM(F121:F122)</f>
        <v>4.8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42</v>
      </c>
      <c r="E124" s="95" t="s">
        <v>19</v>
      </c>
      <c r="F124" s="135">
        <v>4.2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42</v>
      </c>
      <c r="E125" s="95" t="s">
        <v>19</v>
      </c>
      <c r="F125" s="135">
        <v>5.04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42</v>
      </c>
      <c r="E126" s="106"/>
      <c r="F126" s="54">
        <f>SUM(F124:F125)</f>
        <v>9.24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155</v>
      </c>
      <c r="E133" s="95" t="s">
        <v>21</v>
      </c>
      <c r="F133" s="135">
        <v>4.6500000000000004</v>
      </c>
      <c r="G133" s="133"/>
      <c r="H133" s="133"/>
      <c r="I133" s="133"/>
      <c r="J133" s="133"/>
      <c r="K133" s="133"/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155</v>
      </c>
      <c r="E134" s="106"/>
      <c r="F134" s="54">
        <f>F133+F132</f>
        <v>4.6500000000000004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6</v>
      </c>
      <c r="E136" s="95" t="s">
        <v>19</v>
      </c>
      <c r="F136" s="135">
        <v>4.5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6</v>
      </c>
      <c r="E137" s="95" t="s">
        <v>19</v>
      </c>
      <c r="F137" s="135">
        <v>115.5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6</v>
      </c>
      <c r="E138" s="95" t="s">
        <v>19</v>
      </c>
      <c r="F138" s="135">
        <v>6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18</v>
      </c>
      <c r="E139" s="106"/>
      <c r="F139" s="54">
        <f>SUM(F136:F138)</f>
        <v>126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326276</v>
      </c>
      <c r="E140" s="146"/>
      <c r="F140" s="148">
        <f>F10+F64+F68+F82+F90+F95+F98+F101+F103+F110+F116+F120+F123+F126+F130+F134+F139</f>
        <v>767.91132999999991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59:A62"/>
    <mergeCell ref="A10:B10"/>
    <mergeCell ref="A12:A15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64:B64"/>
    <mergeCell ref="A33:A36"/>
    <mergeCell ref="A37:B37"/>
    <mergeCell ref="A38:A41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P69:R69"/>
    <mergeCell ref="P70:R70"/>
    <mergeCell ref="P71:R71"/>
    <mergeCell ref="P72:R72"/>
    <mergeCell ref="P73:R73"/>
    <mergeCell ref="A68:B68"/>
    <mergeCell ref="A69:A73"/>
    <mergeCell ref="B69:B73"/>
    <mergeCell ref="E69:E73"/>
    <mergeCell ref="G69:K73"/>
    <mergeCell ref="A63:B63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6" right="0.17" top="0.74803149606299202" bottom="0.74803149606299202" header="0.31496062992126" footer="0.31496062992126"/>
  <pageSetup paperSize="9" scale="75" orientation="landscape" r:id="rId1"/>
  <rowBreaks count="2" manualBreakCount="2">
    <brk id="38" max="16383" man="1"/>
    <brk id="77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zoomScale="70" zoomScaleNormal="70" zoomScaleSheetLayoutView="100" workbookViewId="0">
      <pane xSplit="2" ySplit="5" topLeftCell="C33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112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100</v>
      </c>
      <c r="E17" s="95" t="s">
        <v>19</v>
      </c>
      <c r="F17" s="114">
        <f>D17*775/100000</f>
        <v>0.77500000000000002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100</v>
      </c>
      <c r="E18" s="95" t="s">
        <v>19</v>
      </c>
      <c r="F18" s="33">
        <f>D18*11220/100000</f>
        <v>11.22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100</v>
      </c>
      <c r="E19" s="95" t="s">
        <v>19</v>
      </c>
      <c r="F19" s="33">
        <f>D19*500/100000</f>
        <v>0.5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100</v>
      </c>
      <c r="E24" s="95"/>
      <c r="F24" s="34">
        <f>SUM(F13:F23)</f>
        <v>12.495000000000001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150</v>
      </c>
      <c r="E34" s="95" t="s">
        <v>19</v>
      </c>
      <c r="F34" s="114">
        <f>575*D34/100000</f>
        <v>0.86250000000000004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150</v>
      </c>
      <c r="E35" s="95" t="s">
        <v>19</v>
      </c>
      <c r="F35" s="114">
        <f>7480*D35/100000</f>
        <v>11.22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150</v>
      </c>
      <c r="E36" s="95" t="s">
        <v>19</v>
      </c>
      <c r="F36" s="114">
        <f>500*D36/100000</f>
        <v>0.75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150</v>
      </c>
      <c r="E37" s="95"/>
      <c r="F37" s="34">
        <f>SUM(F26:F36)</f>
        <v>12.832500000000001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1338</v>
      </c>
      <c r="E43" s="95" t="s">
        <v>19</v>
      </c>
      <c r="F43" s="117">
        <f>D43*67/100000</f>
        <v>0.89646000000000003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1338</v>
      </c>
      <c r="E45" s="95" t="s">
        <v>19</v>
      </c>
      <c r="F45" s="117">
        <f>D45*500/100000</f>
        <v>6.69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1068</v>
      </c>
      <c r="E47" s="95" t="s">
        <v>19</v>
      </c>
      <c r="F47" s="118">
        <f>D47*67/100000</f>
        <v>0.71555999999999997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1068</v>
      </c>
      <c r="E48" s="95" t="s">
        <v>19</v>
      </c>
      <c r="F48" s="119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1068</v>
      </c>
      <c r="E49" s="95" t="s">
        <v>19</v>
      </c>
      <c r="F49" s="118">
        <f>D49*500/100000</f>
        <v>5.34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2406</v>
      </c>
      <c r="E50" s="95"/>
      <c r="F50" s="34">
        <f>SUM(F39:F49)</f>
        <v>13.64202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2656</v>
      </c>
      <c r="E64" s="106"/>
      <c r="F64" s="120">
        <f>+F63+F50+F37+F24</f>
        <v>38.969520000000003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4027</v>
      </c>
      <c r="E66" s="121" t="s">
        <v>19</v>
      </c>
      <c r="F66" s="33">
        <f>D66*0.0003</f>
        <v>1.2081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4027</v>
      </c>
      <c r="E67" s="95" t="s">
        <v>78</v>
      </c>
      <c r="F67" s="33">
        <f>D67*0.0003</f>
        <v>1.2081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4027</v>
      </c>
      <c r="E68" s="106"/>
      <c r="F68" s="34">
        <f>SUM(F66:F67)</f>
        <v>2.4161999999999999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23986</v>
      </c>
      <c r="E69" s="204" t="s">
        <v>17</v>
      </c>
      <c r="F69" s="63">
        <v>35.979999999999997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22127</v>
      </c>
      <c r="E70" s="205"/>
      <c r="F70" s="56">
        <v>33.19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21792</v>
      </c>
      <c r="E71" s="205"/>
      <c r="F71" s="56">
        <v>32.68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18504</v>
      </c>
      <c r="E72" s="205"/>
      <c r="F72" s="56">
        <v>27.76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16808</v>
      </c>
      <c r="E73" s="206"/>
      <c r="F73" s="56">
        <v>25.21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103217</v>
      </c>
      <c r="E74" s="95"/>
      <c r="F74" s="54">
        <f>F69+F70+F71+F72+F73</f>
        <v>154.82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14037</v>
      </c>
      <c r="E75" s="204" t="s">
        <v>17</v>
      </c>
      <c r="F75" s="54">
        <v>35.090000000000003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12046</v>
      </c>
      <c r="E76" s="205"/>
      <c r="F76" s="54">
        <v>30.114999999999998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9265</v>
      </c>
      <c r="E77" s="206"/>
      <c r="F77" s="55">
        <v>23.16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35348</v>
      </c>
      <c r="E78" s="95"/>
      <c r="F78" s="36">
        <f>F75+F76+F77</f>
        <v>88.364999999999995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138565</v>
      </c>
      <c r="E82" s="106"/>
      <c r="F82" s="120">
        <f>F81+F78+F74</f>
        <v>243.185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138565</v>
      </c>
      <c r="E85" s="172"/>
      <c r="F85" s="33">
        <v>34.64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2334</v>
      </c>
      <c r="E86" s="172"/>
      <c r="F86" s="33">
        <v>0.35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619</v>
      </c>
      <c r="E87" s="172"/>
      <c r="F87" s="33">
        <v>9.2799999999999994E-2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619</v>
      </c>
      <c r="E88" s="172"/>
      <c r="F88" s="33">
        <v>4.6420000000000003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197</v>
      </c>
      <c r="E89" s="173"/>
      <c r="F89" s="33">
        <v>1.97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142334</v>
      </c>
      <c r="E90" s="106"/>
      <c r="F90" s="34">
        <f>SUM(F84:F89)</f>
        <v>41.694800000000001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20671</v>
      </c>
      <c r="E91" s="193" t="s">
        <v>35</v>
      </c>
      <c r="F91" s="117">
        <v>82.683999999999997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7681</v>
      </c>
      <c r="E92" s="193"/>
      <c r="F92" s="117">
        <v>30.724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1</v>
      </c>
      <c r="E93" s="193"/>
      <c r="F93" s="117">
        <v>4.0000000000000001E-3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25627</v>
      </c>
      <c r="E94" s="193"/>
      <c r="F94" s="117">
        <v>102.508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53980</v>
      </c>
      <c r="E95" s="106"/>
      <c r="F95" s="34">
        <f>SUM(F91:F94)</f>
        <v>215.92000000000002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422</v>
      </c>
      <c r="E99" s="174" t="s">
        <v>19</v>
      </c>
      <c r="F99" s="33">
        <v>21.1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197</v>
      </c>
      <c r="E100" s="174"/>
      <c r="F100" s="33">
        <v>13.790000000000001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619</v>
      </c>
      <c r="E101" s="106"/>
      <c r="F101" s="34">
        <f>SUM(F99:F100)</f>
        <v>34.89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619</v>
      </c>
      <c r="E102" s="95" t="s">
        <v>19</v>
      </c>
      <c r="F102" s="33">
        <v>2.77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619</v>
      </c>
      <c r="E103" s="106"/>
      <c r="F103" s="34">
        <f>F102</f>
        <v>2.77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3.5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/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14.5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465</v>
      </c>
      <c r="E112" s="95" t="s">
        <v>19</v>
      </c>
      <c r="F112" s="135">
        <v>0.46500000000000002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619</v>
      </c>
      <c r="E113" s="95" t="s">
        <v>21</v>
      </c>
      <c r="F113" s="135">
        <v>0.92900000000000005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5</v>
      </c>
      <c r="E114" s="95" t="s">
        <v>21</v>
      </c>
      <c r="F114" s="135">
        <v>9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1091</v>
      </c>
      <c r="E116" s="106"/>
      <c r="F116" s="34">
        <f>SUM(F112:F115)</f>
        <v>11.644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40</v>
      </c>
      <c r="E119" s="95" t="s">
        <v>19</v>
      </c>
      <c r="F119" s="135">
        <v>2.95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42</v>
      </c>
      <c r="E120" s="106"/>
      <c r="F120" s="54">
        <f>SUM(F118:F119)</f>
        <v>5.95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5</v>
      </c>
      <c r="E121" s="95" t="s">
        <v>19</v>
      </c>
      <c r="F121" s="135">
        <v>2.5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v>5</v>
      </c>
      <c r="E122" s="95" t="s">
        <v>19</v>
      </c>
      <c r="F122" s="135">
        <v>1.5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5</v>
      </c>
      <c r="E123" s="106"/>
      <c r="F123" s="54">
        <f>SUM(F121:F122)</f>
        <v>4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34</v>
      </c>
      <c r="E124" s="95" t="s">
        <v>19</v>
      </c>
      <c r="F124" s="135">
        <v>3.4000000000000004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34</v>
      </c>
      <c r="E125" s="95" t="s">
        <v>19</v>
      </c>
      <c r="F125" s="135">
        <v>4.08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34</v>
      </c>
      <c r="E126" s="106"/>
      <c r="F126" s="54">
        <f>SUM(F124:F125)</f>
        <v>7.48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70</v>
      </c>
      <c r="E133" s="95" t="s">
        <v>21</v>
      </c>
      <c r="F133" s="135">
        <v>2.1</v>
      </c>
      <c r="G133" s="143"/>
      <c r="H133" s="144"/>
      <c r="I133" s="144"/>
      <c r="J133" s="144"/>
      <c r="K133" s="133" t="s">
        <v>97</v>
      </c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44"/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70</v>
      </c>
      <c r="E134" s="106"/>
      <c r="F134" s="54">
        <f>F133+F132</f>
        <v>2.1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3</v>
      </c>
      <c r="E136" s="95" t="s">
        <v>19</v>
      </c>
      <c r="F136" s="135">
        <v>9.6649999999999991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5</v>
      </c>
      <c r="E137" s="95" t="s">
        <v>19</v>
      </c>
      <c r="F137" s="135">
        <v>96.25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5</v>
      </c>
      <c r="E138" s="95" t="s">
        <v>19</v>
      </c>
      <c r="F138" s="135">
        <v>5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13</v>
      </c>
      <c r="E139" s="106"/>
      <c r="F139" s="54">
        <f>SUM(F136:F138)</f>
        <v>110.91499999999999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344056</v>
      </c>
      <c r="E140" s="146"/>
      <c r="F140" s="148">
        <f>F10+F64+F68+F82+F90+F95+F98+F101+F103+F110+F116+F120+F123+F126+F130+F134+F139</f>
        <v>736.43452000000002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verticalDpi="300" r:id="rId1"/>
  <rowBreaks count="2" manualBreakCount="2">
    <brk id="38" max="16383" man="1"/>
    <brk id="77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20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113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1222</v>
      </c>
      <c r="E17" s="95" t="s">
        <v>19</v>
      </c>
      <c r="F17" s="114">
        <f>D17*775/100000</f>
        <v>9.4704999999999995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1222</v>
      </c>
      <c r="E18" s="95" t="s">
        <v>19</v>
      </c>
      <c r="F18" s="33">
        <f>D18*11220/100000</f>
        <v>137.10839999999999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1222</v>
      </c>
      <c r="E19" s="95" t="s">
        <v>19</v>
      </c>
      <c r="F19" s="33">
        <f>D19*500/100000</f>
        <v>6.11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1222</v>
      </c>
      <c r="E24" s="95"/>
      <c r="F24" s="34">
        <f>SUM(F13:F23)</f>
        <v>152.68889999999999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750</v>
      </c>
      <c r="E30" s="95" t="s">
        <v>19</v>
      </c>
      <c r="F30" s="34">
        <f>D30*775/100000</f>
        <v>5.8125</v>
      </c>
      <c r="G30" s="106"/>
      <c r="H30" s="106"/>
      <c r="I30" s="106"/>
      <c r="J30" s="106"/>
      <c r="K30" s="106"/>
      <c r="L30" s="106"/>
      <c r="M30" s="115" t="s">
        <v>97</v>
      </c>
      <c r="N30" s="115" t="s">
        <v>97</v>
      </c>
      <c r="O30" s="115" t="s">
        <v>97</v>
      </c>
      <c r="P30" s="115" t="s">
        <v>97</v>
      </c>
      <c r="Q30" s="115" t="s">
        <v>97</v>
      </c>
      <c r="R30" s="115" t="s">
        <v>97</v>
      </c>
    </row>
    <row r="31" spans="1:18" ht="29.25" customHeight="1">
      <c r="A31" s="190"/>
      <c r="B31" s="111" t="s">
        <v>76</v>
      </c>
      <c r="C31" s="111" t="s">
        <v>42</v>
      </c>
      <c r="D31" s="65">
        <v>750</v>
      </c>
      <c r="E31" s="95" t="s">
        <v>19</v>
      </c>
      <c r="F31" s="34">
        <f>D31*11220/100000</f>
        <v>84.15</v>
      </c>
      <c r="G31" s="106"/>
      <c r="H31" s="106"/>
      <c r="I31" s="106"/>
      <c r="J31" s="106"/>
      <c r="K31" s="106"/>
      <c r="L31" s="106"/>
      <c r="M31" s="115" t="s">
        <v>97</v>
      </c>
      <c r="N31" s="115" t="s">
        <v>97</v>
      </c>
      <c r="O31" s="115" t="s">
        <v>97</v>
      </c>
      <c r="P31" s="115" t="s">
        <v>97</v>
      </c>
      <c r="Q31" s="115" t="s">
        <v>97</v>
      </c>
      <c r="R31" s="115" t="s">
        <v>97</v>
      </c>
    </row>
    <row r="32" spans="1:18" ht="25.5" customHeight="1">
      <c r="A32" s="191"/>
      <c r="B32" s="111" t="s">
        <v>96</v>
      </c>
      <c r="C32" s="111" t="s">
        <v>42</v>
      </c>
      <c r="D32" s="65">
        <v>750</v>
      </c>
      <c r="E32" s="95" t="s">
        <v>19</v>
      </c>
      <c r="F32" s="34">
        <f>D32*500/100000</f>
        <v>3.75</v>
      </c>
      <c r="G32" s="106"/>
      <c r="H32" s="106"/>
      <c r="I32" s="106"/>
      <c r="J32" s="106"/>
      <c r="K32" s="106"/>
      <c r="L32" s="106"/>
      <c r="M32" s="115" t="s">
        <v>97</v>
      </c>
      <c r="N32" s="115" t="s">
        <v>97</v>
      </c>
      <c r="O32" s="115" t="s">
        <v>97</v>
      </c>
      <c r="P32" s="115" t="s">
        <v>97</v>
      </c>
      <c r="Q32" s="115" t="s">
        <v>97</v>
      </c>
      <c r="R32" s="115" t="s">
        <v>97</v>
      </c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/>
      <c r="E34" s="95" t="s">
        <v>19</v>
      </c>
      <c r="F34" s="114"/>
      <c r="G34" s="106"/>
      <c r="H34" s="106"/>
      <c r="I34" s="106"/>
      <c r="J34" s="106"/>
      <c r="K34" s="106"/>
      <c r="L34" s="106"/>
      <c r="M34" s="115"/>
      <c r="N34" s="115"/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/>
      <c r="E35" s="95" t="s">
        <v>19</v>
      </c>
      <c r="F35" s="33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65"/>
      <c r="E36" s="95" t="s">
        <v>19</v>
      </c>
      <c r="F36" s="33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750</v>
      </c>
      <c r="E37" s="95"/>
      <c r="F37" s="34">
        <f>SUM(F26:F36)</f>
        <v>93.712500000000006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/>
      <c r="E43" s="95" t="s">
        <v>19</v>
      </c>
      <c r="F43" s="117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/>
      <c r="E45" s="95" t="s">
        <v>19</v>
      </c>
      <c r="F45" s="117"/>
      <c r="G45" s="99"/>
      <c r="H45" s="99"/>
      <c r="I45" s="99"/>
      <c r="J45" s="99"/>
      <c r="K45" s="99"/>
      <c r="L45" s="99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920</v>
      </c>
      <c r="E47" s="95" t="s">
        <v>19</v>
      </c>
      <c r="F47" s="34">
        <f>D47*67/100000</f>
        <v>0.61639999999999995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920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920</v>
      </c>
      <c r="E49" s="95" t="s">
        <v>19</v>
      </c>
      <c r="F49" s="34">
        <f>D49*500/100000</f>
        <v>4.5999999999999996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920</v>
      </c>
      <c r="E50" s="95"/>
      <c r="F50" s="34">
        <f>SUM(F39:F49)</f>
        <v>5.2163999999999993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2892</v>
      </c>
      <c r="E64" s="106"/>
      <c r="F64" s="120">
        <f>+F63+F50+F37+F24</f>
        <v>251.61779999999999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21116</v>
      </c>
      <c r="E66" s="121" t="s">
        <v>19</v>
      </c>
      <c r="F66" s="33">
        <f>D66*0.0003</f>
        <v>6.3347999999999995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21116</v>
      </c>
      <c r="E67" s="95" t="s">
        <v>78</v>
      </c>
      <c r="F67" s="33">
        <f>D67*0.0003</f>
        <v>6.3347999999999995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21116</v>
      </c>
      <c r="E68" s="106"/>
      <c r="F68" s="34">
        <f>SUM(F66:F67)</f>
        <v>12.669599999999999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109432</v>
      </c>
      <c r="E69" s="204" t="s">
        <v>17</v>
      </c>
      <c r="F69" s="63">
        <v>164.14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108789</v>
      </c>
      <c r="E70" s="205"/>
      <c r="F70" s="56">
        <v>163.18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107609</v>
      </c>
      <c r="E71" s="205"/>
      <c r="F71" s="56">
        <v>161.41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101640</v>
      </c>
      <c r="E72" s="205"/>
      <c r="F72" s="56">
        <v>152.46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93721</v>
      </c>
      <c r="E73" s="206"/>
      <c r="F73" s="56">
        <v>140.58000000000001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521191</v>
      </c>
      <c r="E74" s="95"/>
      <c r="F74" s="54">
        <f>F69+F70+F71+F72+F73</f>
        <v>781.7700000000001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70129</v>
      </c>
      <c r="E75" s="204" t="s">
        <v>17</v>
      </c>
      <c r="F75" s="54">
        <v>175.32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63019</v>
      </c>
      <c r="E76" s="205"/>
      <c r="F76" s="54">
        <v>157.54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47657</v>
      </c>
      <c r="E77" s="206"/>
      <c r="F77" s="55">
        <v>119.63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180805</v>
      </c>
      <c r="E78" s="95"/>
      <c r="F78" s="36">
        <f>F75+F76+F77</f>
        <v>452.49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744</v>
      </c>
      <c r="E79" s="95" t="s">
        <v>19</v>
      </c>
      <c r="F79" s="33">
        <v>1.4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744</v>
      </c>
      <c r="E81" s="106"/>
      <c r="F81" s="120">
        <f>F80+F79</f>
        <v>1.4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702740</v>
      </c>
      <c r="E82" s="106"/>
      <c r="F82" s="120">
        <f>F81+F78+F74</f>
        <v>1235.6600000000001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701996</v>
      </c>
      <c r="E85" s="172"/>
      <c r="F85" s="33">
        <v>175.499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11632</v>
      </c>
      <c r="E86" s="172"/>
      <c r="F86" s="33">
        <v>1.744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3041</v>
      </c>
      <c r="E87" s="172"/>
      <c r="F87" s="33">
        <v>0.45600000000000002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3041</v>
      </c>
      <c r="E88" s="172"/>
      <c r="F88" s="33">
        <v>22.806999999999999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942</v>
      </c>
      <c r="E89" s="173"/>
      <c r="F89" s="33">
        <v>9.42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720652</v>
      </c>
      <c r="E90" s="106"/>
      <c r="F90" s="34">
        <f>SUM(F84:F89)</f>
        <v>209.92599999999996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106002</v>
      </c>
      <c r="E91" s="193" t="s">
        <v>35</v>
      </c>
      <c r="F91" s="117">
        <v>424.00799999999998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29661</v>
      </c>
      <c r="E92" s="193"/>
      <c r="F92" s="117">
        <v>118.64400000000001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512</v>
      </c>
      <c r="E93" s="193"/>
      <c r="F93" s="117">
        <v>2.048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132550</v>
      </c>
      <c r="E94" s="193"/>
      <c r="F94" s="117">
        <v>530.20000000000005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268725</v>
      </c>
      <c r="E95" s="106"/>
      <c r="F95" s="34">
        <f>SUM(F91:F94)</f>
        <v>1074.9000000000001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2099</v>
      </c>
      <c r="E99" s="174" t="s">
        <v>19</v>
      </c>
      <c r="F99" s="33">
        <v>104.95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942</v>
      </c>
      <c r="E100" s="174"/>
      <c r="F100" s="33">
        <v>65.940000000000012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3041</v>
      </c>
      <c r="E101" s="106"/>
      <c r="F101" s="34">
        <f>SUM(F99:F100)</f>
        <v>170.89000000000001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3041</v>
      </c>
      <c r="E102" s="95" t="s">
        <v>19</v>
      </c>
      <c r="F102" s="33">
        <v>13.63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3041</v>
      </c>
      <c r="E103" s="106"/>
      <c r="F103" s="34">
        <f>F102</f>
        <v>13.63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/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19.5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2151</v>
      </c>
      <c r="E112" s="95" t="s">
        <v>19</v>
      </c>
      <c r="F112" s="135">
        <v>2.1509999999999998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3041</v>
      </c>
      <c r="E113" s="95" t="s">
        <v>21</v>
      </c>
      <c r="F113" s="135">
        <v>4.5620000000000003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17</v>
      </c>
      <c r="E114" s="95" t="s">
        <v>21</v>
      </c>
      <c r="F114" s="135">
        <v>30.6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7"/>
      <c r="L115" s="99" t="s">
        <v>97</v>
      </c>
      <c r="M115" s="99" t="s">
        <v>97</v>
      </c>
      <c r="N115" s="99" t="s">
        <v>97</v>
      </c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5211</v>
      </c>
      <c r="E116" s="106"/>
      <c r="F116" s="34">
        <f>SUM(F112:F115)</f>
        <v>38.563000000000002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187</v>
      </c>
      <c r="E119" s="95" t="s">
        <v>19</v>
      </c>
      <c r="F119" s="135">
        <v>11.75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189</v>
      </c>
      <c r="E120" s="106"/>
      <c r="F120" s="54">
        <f>SUM(F118:F119)</f>
        <v>14.75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17</v>
      </c>
      <c r="E121" s="95" t="s">
        <v>19</v>
      </c>
      <c r="F121" s="135">
        <v>8.5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17</v>
      </c>
      <c r="E122" s="95" t="s">
        <v>19</v>
      </c>
      <c r="F122" s="135">
        <v>5.0999999999999996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17</v>
      </c>
      <c r="E123" s="106"/>
      <c r="F123" s="54">
        <f>SUM(F121:F122)</f>
        <v>13.6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169</v>
      </c>
      <c r="E124" s="95" t="s">
        <v>19</v>
      </c>
      <c r="F124" s="135">
        <v>16.900000000000002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169</v>
      </c>
      <c r="E125" s="95" t="s">
        <v>19</v>
      </c>
      <c r="F125" s="135">
        <v>20.279999999999998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169</v>
      </c>
      <c r="E126" s="106"/>
      <c r="F126" s="54">
        <f>SUM(F124:F125)</f>
        <v>37.18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1260</v>
      </c>
      <c r="E133" s="95" t="s">
        <v>21</v>
      </c>
      <c r="F133" s="135">
        <v>37.799999999999997</v>
      </c>
      <c r="G133" s="133"/>
      <c r="H133" s="133"/>
      <c r="I133" s="133"/>
      <c r="J133" s="133"/>
      <c r="K133" s="133"/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1260</v>
      </c>
      <c r="E134" s="106"/>
      <c r="F134" s="54">
        <f>F133+F132</f>
        <v>37.799999999999997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8</v>
      </c>
      <c r="E136" s="95" t="s">
        <v>19</v>
      </c>
      <c r="F136" s="135">
        <v>6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17</v>
      </c>
      <c r="E137" s="95" t="s">
        <v>19</v>
      </c>
      <c r="F137" s="135">
        <v>327.25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17</v>
      </c>
      <c r="E138" s="95" t="s">
        <v>19</v>
      </c>
      <c r="F138" s="135">
        <v>17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42</v>
      </c>
      <c r="E139" s="106"/>
      <c r="F139" s="54">
        <f>SUM(F136:F138)</f>
        <v>350.25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1729096</v>
      </c>
      <c r="E140" s="146"/>
      <c r="F140" s="148">
        <f>F10+F64+F68+F82+F90+F95+F98+F101+F103+F110+F116+F120+F123+F126+F130+F134+F139</f>
        <v>3480.9364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65" orientation="landscape" r:id="rId1"/>
  <rowBreaks count="2" manualBreakCount="2">
    <brk id="38" max="16383" man="1"/>
    <brk id="7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41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181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650</v>
      </c>
      <c r="E17" s="95" t="s">
        <v>19</v>
      </c>
      <c r="F17" s="114">
        <f>D17*775/100000</f>
        <v>5.0374999999999996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650</v>
      </c>
      <c r="E18" s="95" t="s">
        <v>19</v>
      </c>
      <c r="F18" s="33">
        <f>D18*11220/100000</f>
        <v>72.930000000000007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650</v>
      </c>
      <c r="E19" s="95" t="s">
        <v>19</v>
      </c>
      <c r="F19" s="33">
        <f>D19*500/100000</f>
        <v>3.25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650</v>
      </c>
      <c r="E24" s="95"/>
      <c r="F24" s="34">
        <f>SUM(F13:F23)</f>
        <v>81.217500000000001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184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300</v>
      </c>
      <c r="E34" s="95" t="s">
        <v>19</v>
      </c>
      <c r="F34" s="114">
        <f>575*D34/100000</f>
        <v>1.7250000000000001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15" t="s">
        <v>97</v>
      </c>
      <c r="P34" s="115" t="s">
        <v>97</v>
      </c>
      <c r="Q34" s="115" t="s">
        <v>97</v>
      </c>
      <c r="R34" s="115" t="s">
        <v>97</v>
      </c>
    </row>
    <row r="35" spans="1:21" ht="25.5" customHeight="1">
      <c r="A35" s="190"/>
      <c r="B35" s="111" t="s">
        <v>76</v>
      </c>
      <c r="C35" s="111" t="s">
        <v>42</v>
      </c>
      <c r="D35" s="65"/>
      <c r="E35" s="95" t="s">
        <v>19</v>
      </c>
      <c r="F35" s="114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65"/>
      <c r="E36" s="95" t="s">
        <v>19</v>
      </c>
      <c r="F36" s="114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300</v>
      </c>
      <c r="E37" s="95"/>
      <c r="F37" s="34">
        <f>SUM(F26:F36)</f>
        <v>1.7250000000000001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178</v>
      </c>
      <c r="E43" s="95" t="s">
        <v>19</v>
      </c>
      <c r="F43" s="117">
        <f>D43*67/100000</f>
        <v>0.11926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>
        <v>0</v>
      </c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178</v>
      </c>
      <c r="E45" s="95" t="s">
        <v>19</v>
      </c>
      <c r="F45" s="117">
        <f>D45*500/100000</f>
        <v>0.89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1362</v>
      </c>
      <c r="E47" s="95" t="s">
        <v>19</v>
      </c>
      <c r="F47" s="34">
        <f>D47*67/100000</f>
        <v>0.91254000000000002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1362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1362</v>
      </c>
      <c r="E49" s="95" t="s">
        <v>19</v>
      </c>
      <c r="F49" s="34">
        <f>D49*500/100000</f>
        <v>6.81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1540</v>
      </c>
      <c r="E50" s="95"/>
      <c r="F50" s="34">
        <f>SUM(F39:F49)</f>
        <v>8.7317999999999998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2490</v>
      </c>
      <c r="E64" s="106"/>
      <c r="F64" s="120">
        <f>+F63+F50+F37+F24</f>
        <v>91.674300000000002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26791</v>
      </c>
      <c r="E66" s="121" t="s">
        <v>19</v>
      </c>
      <c r="F66" s="33">
        <f>D66*0.0003</f>
        <v>8.0373000000000001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26791</v>
      </c>
      <c r="E67" s="95" t="s">
        <v>78</v>
      </c>
      <c r="F67" s="33">
        <f>D67*0.0003</f>
        <v>8.0373000000000001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26791</v>
      </c>
      <c r="E68" s="106"/>
      <c r="F68" s="34">
        <f>SUM(F66:F67)</f>
        <v>16.0746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85656</v>
      </c>
      <c r="E69" s="204" t="s">
        <v>17</v>
      </c>
      <c r="F69" s="63">
        <v>128.47999999999999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72426</v>
      </c>
      <c r="E70" s="205"/>
      <c r="F70" s="56">
        <v>108.63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75790</v>
      </c>
      <c r="E71" s="205"/>
      <c r="F71" s="56">
        <v>113.68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78009</v>
      </c>
      <c r="E72" s="205"/>
      <c r="F72" s="56">
        <v>117.01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80429</v>
      </c>
      <c r="E73" s="206"/>
      <c r="F73" s="56">
        <v>120.64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392310</v>
      </c>
      <c r="E74" s="95"/>
      <c r="F74" s="54">
        <f>F69+F70+F71+F72+F73</f>
        <v>588.43999999999994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69591</v>
      </c>
      <c r="E75" s="204" t="s">
        <v>17</v>
      </c>
      <c r="F75" s="54">
        <v>173.977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68121</v>
      </c>
      <c r="E76" s="205"/>
      <c r="F76" s="54">
        <v>170.3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60456</v>
      </c>
      <c r="E77" s="206"/>
      <c r="F77" s="55">
        <v>152.13999999999999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198168</v>
      </c>
      <c r="E78" s="95"/>
      <c r="F78" s="36">
        <f>F75+F76+F77</f>
        <v>496.41700000000003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1386</v>
      </c>
      <c r="E79" s="95" t="s">
        <v>19</v>
      </c>
      <c r="F79" s="33">
        <v>2.488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1386</v>
      </c>
      <c r="E81" s="106"/>
      <c r="F81" s="120">
        <f>F80+F79</f>
        <v>2.488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591864</v>
      </c>
      <c r="E82" s="106"/>
      <c r="F82" s="120">
        <f>F81+F78+F74</f>
        <v>1087.345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3.25" customHeight="1">
      <c r="A85" s="95"/>
      <c r="B85" s="116" t="s">
        <v>84</v>
      </c>
      <c r="C85" s="116" t="s">
        <v>42</v>
      </c>
      <c r="D85" s="66">
        <v>590478</v>
      </c>
      <c r="E85" s="172"/>
      <c r="F85" s="33">
        <v>147.619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14479</v>
      </c>
      <c r="E86" s="172"/>
      <c r="F86" s="33">
        <v>2.1709999999999998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3134</v>
      </c>
      <c r="E87" s="172"/>
      <c r="F87" s="33">
        <v>0.47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3134</v>
      </c>
      <c r="E88" s="172"/>
      <c r="F88" s="33">
        <v>23.504999999999999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923</v>
      </c>
      <c r="E89" s="173"/>
      <c r="F89" s="33">
        <v>9.23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612148</v>
      </c>
      <c r="E90" s="106"/>
      <c r="F90" s="34">
        <f>SUM(F84:F89)</f>
        <v>182.99499999999998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80872</v>
      </c>
      <c r="E91" s="193" t="s">
        <v>35</v>
      </c>
      <c r="F91" s="117">
        <v>323.488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26545</v>
      </c>
      <c r="E92" s="193"/>
      <c r="F92" s="117">
        <v>106.18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7514</v>
      </c>
      <c r="E93" s="193"/>
      <c r="F93" s="117">
        <v>30.056000000000001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105334</v>
      </c>
      <c r="E94" s="193"/>
      <c r="F94" s="117">
        <v>421.33600000000001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220265</v>
      </c>
      <c r="E95" s="106"/>
      <c r="F95" s="34">
        <f>SUM(F91:F94)</f>
        <v>881.06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2211</v>
      </c>
      <c r="E99" s="174" t="s">
        <v>19</v>
      </c>
      <c r="F99" s="33">
        <v>110.55000000000001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923</v>
      </c>
      <c r="E100" s="174"/>
      <c r="F100" s="33">
        <v>64.61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3134</v>
      </c>
      <c r="E101" s="106"/>
      <c r="F101" s="34">
        <f>SUM(F99:F100)</f>
        <v>175.16000000000003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3134</v>
      </c>
      <c r="E102" s="95" t="s">
        <v>19</v>
      </c>
      <c r="F102" s="33">
        <v>14.04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3134</v>
      </c>
      <c r="E103" s="106"/>
      <c r="F103" s="34">
        <f>F102</f>
        <v>14.04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15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/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22.5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2725</v>
      </c>
      <c r="E112" s="95" t="s">
        <v>19</v>
      </c>
      <c r="F112" s="135">
        <v>2.7250000000000001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3134</v>
      </c>
      <c r="E113" s="95" t="s">
        <v>21</v>
      </c>
      <c r="F113" s="135">
        <v>4.7009999999999996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19</v>
      </c>
      <c r="E114" s="95" t="s">
        <v>21</v>
      </c>
      <c r="F114" s="135">
        <v>34.020000000000003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5880</v>
      </c>
      <c r="E116" s="106"/>
      <c r="F116" s="34">
        <f>SUM(F112:F115)</f>
        <v>42.696000000000005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191</v>
      </c>
      <c r="E119" s="95" t="s">
        <v>19</v>
      </c>
      <c r="F119" s="135">
        <v>12.15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193</v>
      </c>
      <c r="E120" s="106"/>
      <c r="F120" s="54">
        <f>SUM(F118:F119)</f>
        <v>15.15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19</v>
      </c>
      <c r="E121" s="95" t="s">
        <v>19</v>
      </c>
      <c r="F121" s="135">
        <v>9.5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19</v>
      </c>
      <c r="E122" s="95" t="s">
        <v>19</v>
      </c>
      <c r="F122" s="135">
        <v>5.7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19</v>
      </c>
      <c r="E123" s="106"/>
      <c r="F123" s="54">
        <f>SUM(F121:F122)</f>
        <v>15.2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171</v>
      </c>
      <c r="E124" s="95" t="s">
        <v>19</v>
      </c>
      <c r="F124" s="135">
        <v>17.100000000000001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171</v>
      </c>
      <c r="E125" s="95" t="s">
        <v>19</v>
      </c>
      <c r="F125" s="135">
        <v>20.52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171</v>
      </c>
      <c r="E126" s="106"/>
      <c r="F126" s="54">
        <f>SUM(F124:F125)</f>
        <v>37.620000000000005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1250</v>
      </c>
      <c r="E133" s="95" t="s">
        <v>21</v>
      </c>
      <c r="F133" s="135">
        <v>37.5</v>
      </c>
      <c r="G133" s="143"/>
      <c r="H133" s="144"/>
      <c r="I133" s="144"/>
      <c r="J133" s="144"/>
      <c r="K133" s="144"/>
      <c r="L133" s="144"/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33" t="s">
        <v>97</v>
      </c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1250</v>
      </c>
      <c r="E134" s="106"/>
      <c r="F134" s="54">
        <f>F133+F132</f>
        <v>37.5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10</v>
      </c>
      <c r="E136" s="95" t="s">
        <v>19</v>
      </c>
      <c r="F136" s="135">
        <v>9.4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19</v>
      </c>
      <c r="E137" s="95" t="s">
        <v>19</v>
      </c>
      <c r="F137" s="135">
        <v>365.75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19</v>
      </c>
      <c r="E138" s="95" t="s">
        <v>19</v>
      </c>
      <c r="F138" s="135">
        <v>19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48</v>
      </c>
      <c r="E139" s="106"/>
      <c r="F139" s="54">
        <f>SUM(F136:F138)</f>
        <v>394.15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1467388</v>
      </c>
      <c r="E140" s="146"/>
      <c r="F140" s="148">
        <f>F10+F64+F68+F82+F90+F95+F98+F101+F103+F110+F116+F120+F123+F126+F130+F134+F139</f>
        <v>3013.1648999999998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5">
    <mergeCell ref="A10:B10"/>
    <mergeCell ref="A12:A15"/>
    <mergeCell ref="A16:A19"/>
    <mergeCell ref="A20:A23"/>
    <mergeCell ref="A24:B24"/>
    <mergeCell ref="A25:A28"/>
    <mergeCell ref="A29:A32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63:B63"/>
    <mergeCell ref="A42:A45"/>
    <mergeCell ref="A46:A49"/>
    <mergeCell ref="A50:B50"/>
    <mergeCell ref="A51:A54"/>
    <mergeCell ref="A55:A58"/>
    <mergeCell ref="A59:A62"/>
    <mergeCell ref="A33:A36"/>
    <mergeCell ref="A37:B37"/>
    <mergeCell ref="A38:A41"/>
    <mergeCell ref="G69:K73"/>
    <mergeCell ref="P69:R69"/>
    <mergeCell ref="P70:R70"/>
    <mergeCell ref="P71:R71"/>
    <mergeCell ref="P72:R72"/>
    <mergeCell ref="P73:R73"/>
    <mergeCell ref="A64:B64"/>
    <mergeCell ref="A68:B68"/>
    <mergeCell ref="A69:A73"/>
    <mergeCell ref="B69:B73"/>
    <mergeCell ref="E69:E7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70866141732283472" right="0.70866141732283472" top="0.74803149606299213" bottom="0.74803149606299213" header="0.31496062992125984" footer="0.31496062992125984"/>
  <pageSetup paperSize="9" scale="43" orientation="landscape" verticalDpi="300" r:id="rId1"/>
  <rowBreaks count="2" manualBreakCount="2">
    <brk id="38" max="16383" man="1"/>
    <brk id="77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105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114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500</v>
      </c>
      <c r="E17" s="95" t="s">
        <v>19</v>
      </c>
      <c r="F17" s="114">
        <f>D17*775/100000</f>
        <v>3.875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500</v>
      </c>
      <c r="E18" s="95" t="s">
        <v>19</v>
      </c>
      <c r="F18" s="33">
        <f>D18*11220/100000</f>
        <v>56.1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500</v>
      </c>
      <c r="E19" s="95" t="s">
        <v>19</v>
      </c>
      <c r="F19" s="33">
        <f>D19*500/100000</f>
        <v>2.5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500</v>
      </c>
      <c r="E24" s="95"/>
      <c r="F24" s="34">
        <f>SUM(F13:F23)</f>
        <v>62.475000000000001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436</v>
      </c>
      <c r="E34" s="95" t="s">
        <v>19</v>
      </c>
      <c r="F34" s="114">
        <f>575*D34/100000</f>
        <v>2.5070000000000001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436</v>
      </c>
      <c r="E35" s="95" t="s">
        <v>19</v>
      </c>
      <c r="F35" s="114">
        <f>7480*D35/100000</f>
        <v>32.6128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436</v>
      </c>
      <c r="E36" s="95" t="s">
        <v>19</v>
      </c>
      <c r="F36" s="114">
        <f>500*D36/100000</f>
        <v>2.1800000000000002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436</v>
      </c>
      <c r="E37" s="95"/>
      <c r="F37" s="34">
        <f>SUM(F26:F36)</f>
        <v>37.299799999999998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/>
      <c r="E43" s="95" t="s">
        <v>19</v>
      </c>
      <c r="F43" s="117"/>
      <c r="G43" s="99"/>
      <c r="H43" s="99"/>
      <c r="I43" s="99"/>
      <c r="J43" s="99"/>
      <c r="K43" s="99"/>
      <c r="L43" s="99"/>
      <c r="M43" s="115"/>
      <c r="N43" s="115"/>
      <c r="O43" s="115"/>
      <c r="P43" s="115"/>
      <c r="Q43" s="115"/>
      <c r="R43" s="115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/>
      <c r="E45" s="95" t="s">
        <v>19</v>
      </c>
      <c r="F45" s="117"/>
      <c r="G45" s="99"/>
      <c r="H45" s="99"/>
      <c r="I45" s="99"/>
      <c r="J45" s="99"/>
      <c r="K45" s="99"/>
      <c r="L45" s="99"/>
      <c r="M45" s="115"/>
      <c r="N45" s="115"/>
      <c r="O45" s="115"/>
      <c r="P45" s="115"/>
      <c r="Q45" s="115"/>
      <c r="R45" s="115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761</v>
      </c>
      <c r="E47" s="95" t="s">
        <v>19</v>
      </c>
      <c r="F47" s="34">
        <f>D47*67/100000</f>
        <v>0.50987000000000005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761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115"/>
      <c r="N48" s="115"/>
      <c r="O48" s="115"/>
      <c r="P48" s="115"/>
      <c r="Q48" s="115"/>
      <c r="R48" s="115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761</v>
      </c>
      <c r="E49" s="95" t="s">
        <v>19</v>
      </c>
      <c r="F49" s="34">
        <f>D49*500/100000</f>
        <v>3.8050000000000002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761</v>
      </c>
      <c r="E50" s="95"/>
      <c r="F50" s="34">
        <f>SUM(F39:F49)</f>
        <v>4.31487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1697</v>
      </c>
      <c r="E64" s="106"/>
      <c r="F64" s="120">
        <f>+F63+F50+F37+F24</f>
        <v>104.08967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16883</v>
      </c>
      <c r="E66" s="121" t="s">
        <v>19</v>
      </c>
      <c r="F66" s="33">
        <f>D66*0.0003</f>
        <v>5.0648999999999997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16883</v>
      </c>
      <c r="E67" s="95" t="s">
        <v>78</v>
      </c>
      <c r="F67" s="33">
        <f>D67*0.0003</f>
        <v>5.0648999999999997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16883</v>
      </c>
      <c r="E68" s="106"/>
      <c r="F68" s="34">
        <f>SUM(F66:F67)</f>
        <v>10.129799999999999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64747</v>
      </c>
      <c r="E69" s="204" t="s">
        <v>17</v>
      </c>
      <c r="F69" s="63">
        <v>97.12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63850</v>
      </c>
      <c r="E70" s="205"/>
      <c r="F70" s="56">
        <v>95.78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63615</v>
      </c>
      <c r="E71" s="205"/>
      <c r="F71" s="56">
        <v>95.42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64464</v>
      </c>
      <c r="E72" s="205"/>
      <c r="F72" s="56">
        <v>96.7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66945</v>
      </c>
      <c r="E73" s="206"/>
      <c r="F73" s="56">
        <v>100.42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323621</v>
      </c>
      <c r="E74" s="95"/>
      <c r="F74" s="54">
        <f>F69+F70+F71+F72+F73</f>
        <v>485.44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53027</v>
      </c>
      <c r="E75" s="204" t="s">
        <v>17</v>
      </c>
      <c r="F75" s="54">
        <v>132.56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48348</v>
      </c>
      <c r="E76" s="205"/>
      <c r="F76" s="54">
        <v>120.87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35706</v>
      </c>
      <c r="E77" s="206"/>
      <c r="F77" s="55">
        <v>89.26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137081</v>
      </c>
      <c r="E78" s="95"/>
      <c r="F78" s="36">
        <f>F75+F76+F77</f>
        <v>342.69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>
        <v>0</v>
      </c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94">
        <f>D80+D79</f>
        <v>0</v>
      </c>
      <c r="E81" s="106"/>
      <c r="F81" s="120">
        <f>F80+F79</f>
        <v>0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460702</v>
      </c>
      <c r="E82" s="106"/>
      <c r="F82" s="120">
        <f>F81+F78+F74</f>
        <v>828.13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32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0.75" customHeight="1">
      <c r="A85" s="95"/>
      <c r="B85" s="116" t="s">
        <v>84</v>
      </c>
      <c r="C85" s="116" t="s">
        <v>42</v>
      </c>
      <c r="D85" s="66">
        <v>460702</v>
      </c>
      <c r="E85" s="172"/>
      <c r="F85" s="33">
        <v>115.175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8651</v>
      </c>
      <c r="E86" s="172"/>
      <c r="F86" s="33">
        <v>1.2969999999999999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2516</v>
      </c>
      <c r="E87" s="172"/>
      <c r="F87" s="33">
        <v>0.377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2516</v>
      </c>
      <c r="E88" s="172"/>
      <c r="F88" s="33">
        <v>18.87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707</v>
      </c>
      <c r="E89" s="173"/>
      <c r="F89" s="33">
        <v>7.07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475092</v>
      </c>
      <c r="E90" s="106"/>
      <c r="F90" s="34">
        <f>SUM(F84:F89)</f>
        <v>142.78899999999999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60631</v>
      </c>
      <c r="E91" s="193" t="s">
        <v>35</v>
      </c>
      <c r="F91" s="117">
        <v>242.524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22982</v>
      </c>
      <c r="E92" s="193"/>
      <c r="F92" s="117">
        <v>91.927999999999997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585</v>
      </c>
      <c r="E93" s="193"/>
      <c r="F93" s="117">
        <v>2.34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85450</v>
      </c>
      <c r="E94" s="193"/>
      <c r="F94" s="117">
        <v>341.8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169648</v>
      </c>
      <c r="E95" s="106"/>
      <c r="F95" s="34">
        <f>SUM(F91:F94)</f>
        <v>678.59199999999998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1809</v>
      </c>
      <c r="E99" s="174" t="s">
        <v>19</v>
      </c>
      <c r="F99" s="33">
        <v>90.45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707</v>
      </c>
      <c r="E100" s="174"/>
      <c r="F100" s="33">
        <v>49.49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2516</v>
      </c>
      <c r="E101" s="106"/>
      <c r="F101" s="34">
        <f>SUM(F99:F100)</f>
        <v>139.94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2516</v>
      </c>
      <c r="E102" s="95" t="s">
        <v>19</v>
      </c>
      <c r="F102" s="33">
        <v>11.28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2516</v>
      </c>
      <c r="E103" s="106"/>
      <c r="F103" s="34">
        <f>F102</f>
        <v>11.28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4.5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12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/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18.5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1819</v>
      </c>
      <c r="E112" s="95" t="s">
        <v>19</v>
      </c>
      <c r="F112" s="135">
        <v>1.819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2516</v>
      </c>
      <c r="E113" s="95" t="s">
        <v>21</v>
      </c>
      <c r="F113" s="135">
        <v>3.774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11</v>
      </c>
      <c r="E114" s="95" t="s">
        <v>21</v>
      </c>
      <c r="F114" s="135">
        <v>19.8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4348</v>
      </c>
      <c r="E116" s="106"/>
      <c r="F116" s="34">
        <f>SUM(F112:F115)</f>
        <v>26.643000000000001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150</v>
      </c>
      <c r="E119" s="95" t="s">
        <v>19</v>
      </c>
      <c r="F119" s="135">
        <v>9.3000000000000007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152</v>
      </c>
      <c r="E120" s="106"/>
      <c r="F120" s="54">
        <f>SUM(F118:F119)</f>
        <v>12.3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11</v>
      </c>
      <c r="E121" s="95" t="s">
        <v>19</v>
      </c>
      <c r="F121" s="135">
        <v>5.5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11</v>
      </c>
      <c r="E122" s="95" t="s">
        <v>19</v>
      </c>
      <c r="F122" s="135">
        <v>3.3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11</v>
      </c>
      <c r="E123" s="106"/>
      <c r="F123" s="54">
        <f>SUM(F121:F122)</f>
        <v>8.8000000000000007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138</v>
      </c>
      <c r="E124" s="95" t="s">
        <v>19</v>
      </c>
      <c r="F124" s="135">
        <v>13.8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138</v>
      </c>
      <c r="E125" s="95" t="s">
        <v>19</v>
      </c>
      <c r="F125" s="135">
        <v>16.559999999999999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138</v>
      </c>
      <c r="E126" s="106"/>
      <c r="F126" s="54">
        <f>SUM(F124:F125)</f>
        <v>30.36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40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1065</v>
      </c>
      <c r="E133" s="95" t="s">
        <v>21</v>
      </c>
      <c r="F133" s="135">
        <v>31.95</v>
      </c>
      <c r="G133" s="143"/>
      <c r="H133" s="144"/>
      <c r="I133" s="144"/>
      <c r="J133" s="144"/>
      <c r="K133" s="144"/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1065</v>
      </c>
      <c r="E134" s="106"/>
      <c r="F134" s="54">
        <f>F133+F132</f>
        <v>31.95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1</v>
      </c>
      <c r="E136" s="95" t="s">
        <v>19</v>
      </c>
      <c r="F136" s="135">
        <v>1.794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12</v>
      </c>
      <c r="E137" s="95" t="s">
        <v>19</v>
      </c>
      <c r="F137" s="135">
        <v>231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12</v>
      </c>
      <c r="E138" s="95" t="s">
        <v>19</v>
      </c>
      <c r="F138" s="135">
        <v>12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25</v>
      </c>
      <c r="E139" s="106"/>
      <c r="F139" s="54">
        <f>SUM(F136:F138)</f>
        <v>244.79400000000001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1134794</v>
      </c>
      <c r="E140" s="146"/>
      <c r="F140" s="148">
        <f>F10+F64+F68+F82+F90+F95+F98+F101+F103+F110+F116+F120+F123+F126+F130+F134+F139</f>
        <v>2288.29747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4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90:B90"/>
    <mergeCell ref="G90:R90"/>
    <mergeCell ref="A91:A94"/>
    <mergeCell ref="B91:B94"/>
    <mergeCell ref="E91:E94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A98:B98"/>
    <mergeCell ref="G98:R98"/>
    <mergeCell ref="A99:A100"/>
    <mergeCell ref="B99:B100"/>
    <mergeCell ref="E99:E100"/>
    <mergeCell ref="A95:B95"/>
    <mergeCell ref="G95:R95"/>
    <mergeCell ref="A96:A97"/>
    <mergeCell ref="B96:B97"/>
    <mergeCell ref="E96:E97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01:B101"/>
    <mergeCell ref="A103:B103"/>
    <mergeCell ref="C104:F104"/>
    <mergeCell ref="A110:B110"/>
    <mergeCell ref="G110:R11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19685039370078741" right="0.31496062992125984" top="0.47244094488188981" bottom="0.31496062992125984" header="0.27559055118110237" footer="0.15748031496062992"/>
  <pageSetup paperSize="9" scale="56" orientation="landscape" r:id="rId1"/>
  <rowBreaks count="2" manualBreakCount="2">
    <brk id="38" max="16383" man="1"/>
    <brk id="7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D33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182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>
        <v>300</v>
      </c>
      <c r="E17" s="95" t="s">
        <v>19</v>
      </c>
      <c r="F17" s="114">
        <f>D17*775/100000</f>
        <v>2.3250000000000002</v>
      </c>
      <c r="G17" s="106"/>
      <c r="H17" s="106"/>
      <c r="I17" s="106"/>
      <c r="J17" s="106"/>
      <c r="K17" s="106"/>
      <c r="L17" s="106"/>
      <c r="M17" s="115" t="s">
        <v>97</v>
      </c>
      <c r="N17" s="115" t="s">
        <v>97</v>
      </c>
      <c r="O17" s="115" t="s">
        <v>97</v>
      </c>
      <c r="P17" s="115" t="s">
        <v>97</v>
      </c>
      <c r="Q17" s="115" t="s">
        <v>97</v>
      </c>
      <c r="R17" s="115" t="s">
        <v>97</v>
      </c>
    </row>
    <row r="18" spans="1:18">
      <c r="A18" s="190"/>
      <c r="B18" s="111" t="s">
        <v>76</v>
      </c>
      <c r="C18" s="111" t="s">
        <v>42</v>
      </c>
      <c r="D18" s="65">
        <v>300</v>
      </c>
      <c r="E18" s="95" t="s">
        <v>19</v>
      </c>
      <c r="F18" s="33">
        <f>D18*11220/100000</f>
        <v>33.659999999999997</v>
      </c>
      <c r="G18" s="106"/>
      <c r="H18" s="106"/>
      <c r="I18" s="106"/>
      <c r="J18" s="106"/>
      <c r="K18" s="106"/>
      <c r="L18" s="106"/>
      <c r="M18" s="115" t="s">
        <v>97</v>
      </c>
      <c r="N18" s="115" t="s">
        <v>97</v>
      </c>
      <c r="O18" s="115" t="s">
        <v>97</v>
      </c>
      <c r="P18" s="115" t="s">
        <v>97</v>
      </c>
      <c r="Q18" s="115" t="s">
        <v>97</v>
      </c>
      <c r="R18" s="115" t="s">
        <v>97</v>
      </c>
    </row>
    <row r="19" spans="1:18" ht="15" customHeight="1">
      <c r="A19" s="191"/>
      <c r="B19" s="111" t="s">
        <v>96</v>
      </c>
      <c r="C19" s="111" t="s">
        <v>42</v>
      </c>
      <c r="D19" s="65">
        <v>300</v>
      </c>
      <c r="E19" s="95" t="s">
        <v>19</v>
      </c>
      <c r="F19" s="33">
        <f>D19*500/100000</f>
        <v>1.5</v>
      </c>
      <c r="G19" s="106"/>
      <c r="H19" s="106"/>
      <c r="I19" s="106"/>
      <c r="J19" s="106"/>
      <c r="K19" s="106"/>
      <c r="L19" s="106"/>
      <c r="M19" s="115" t="s">
        <v>97</v>
      </c>
      <c r="N19" s="115" t="s">
        <v>97</v>
      </c>
      <c r="O19" s="115" t="s">
        <v>97</v>
      </c>
      <c r="P19" s="115" t="s">
        <v>97</v>
      </c>
      <c r="Q19" s="115" t="s">
        <v>97</v>
      </c>
      <c r="R19" s="115" t="s">
        <v>97</v>
      </c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300</v>
      </c>
      <c r="E24" s="95"/>
      <c r="F24" s="34">
        <f>SUM(F13:F23)</f>
        <v>37.484999999999999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>
        <v>450</v>
      </c>
      <c r="E34" s="95" t="s">
        <v>19</v>
      </c>
      <c r="F34" s="114">
        <f>575*D34/100000</f>
        <v>2.5874999999999999</v>
      </c>
      <c r="G34" s="106"/>
      <c r="H34" s="106"/>
      <c r="I34" s="106"/>
      <c r="J34" s="106"/>
      <c r="K34" s="106"/>
      <c r="L34" s="106"/>
      <c r="M34" s="115" t="s">
        <v>97</v>
      </c>
      <c r="N34" s="115" t="s">
        <v>97</v>
      </c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>
        <v>450</v>
      </c>
      <c r="E35" s="95" t="s">
        <v>19</v>
      </c>
      <c r="F35" s="114">
        <f>7480*D35/100000</f>
        <v>33.659999999999997</v>
      </c>
      <c r="G35" s="106"/>
      <c r="H35" s="106"/>
      <c r="I35" s="106"/>
      <c r="J35" s="106"/>
      <c r="K35" s="106"/>
      <c r="L35" s="106"/>
      <c r="M35" s="115" t="s">
        <v>97</v>
      </c>
      <c r="N35" s="115" t="s">
        <v>97</v>
      </c>
      <c r="O35" s="115" t="s">
        <v>97</v>
      </c>
      <c r="P35" s="115" t="s">
        <v>97</v>
      </c>
      <c r="Q35" s="115" t="s">
        <v>97</v>
      </c>
      <c r="R35" s="115" t="s">
        <v>97</v>
      </c>
    </row>
    <row r="36" spans="1:21" ht="34.5" customHeight="1">
      <c r="A36" s="191"/>
      <c r="B36" s="111" t="s">
        <v>96</v>
      </c>
      <c r="C36" s="111" t="s">
        <v>42</v>
      </c>
      <c r="D36" s="65">
        <v>450</v>
      </c>
      <c r="E36" s="95" t="s">
        <v>19</v>
      </c>
      <c r="F36" s="114">
        <f>500*D36/100000</f>
        <v>2.25</v>
      </c>
      <c r="G36" s="106"/>
      <c r="H36" s="106"/>
      <c r="I36" s="106"/>
      <c r="J36" s="106"/>
      <c r="K36" s="106"/>
      <c r="L36" s="106"/>
      <c r="M36" s="115" t="s">
        <v>97</v>
      </c>
      <c r="N36" s="115" t="s">
        <v>97</v>
      </c>
      <c r="O36" s="115" t="s">
        <v>97</v>
      </c>
      <c r="P36" s="115" t="s">
        <v>97</v>
      </c>
      <c r="Q36" s="115" t="s">
        <v>97</v>
      </c>
      <c r="R36" s="115" t="s">
        <v>97</v>
      </c>
    </row>
    <row r="37" spans="1:21" ht="30" customHeight="1">
      <c r="A37" s="185" t="s">
        <v>159</v>
      </c>
      <c r="B37" s="187"/>
      <c r="C37" s="111"/>
      <c r="D37" s="94">
        <f>+D34+D30+D26</f>
        <v>450</v>
      </c>
      <c r="E37" s="95"/>
      <c r="F37" s="34">
        <f>SUM(F26:F36)</f>
        <v>38.497499999999995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>
        <v>799</v>
      </c>
      <c r="E43" s="95" t="s">
        <v>19</v>
      </c>
      <c r="F43" s="117">
        <f>D43*67/100000</f>
        <v>0.53532999999999997</v>
      </c>
      <c r="G43" s="99"/>
      <c r="H43" s="99"/>
      <c r="I43" s="99"/>
      <c r="J43" s="99"/>
      <c r="K43" s="99"/>
      <c r="L43" s="99"/>
      <c r="M43" s="115" t="s">
        <v>97</v>
      </c>
      <c r="N43" s="115" t="s">
        <v>97</v>
      </c>
      <c r="O43" s="115" t="s">
        <v>97</v>
      </c>
      <c r="P43" s="115" t="s">
        <v>97</v>
      </c>
      <c r="Q43" s="115" t="s">
        <v>97</v>
      </c>
      <c r="R43" s="115" t="s">
        <v>97</v>
      </c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>
        <v>799</v>
      </c>
      <c r="E45" s="95" t="s">
        <v>19</v>
      </c>
      <c r="F45" s="117">
        <f>D45*500/100000</f>
        <v>3.9950000000000001</v>
      </c>
      <c r="G45" s="99"/>
      <c r="H45" s="99"/>
      <c r="I45" s="99"/>
      <c r="J45" s="99"/>
      <c r="K45" s="99"/>
      <c r="L45" s="99"/>
      <c r="M45" s="115" t="s">
        <v>97</v>
      </c>
      <c r="N45" s="115" t="s">
        <v>97</v>
      </c>
      <c r="O45" s="115" t="s">
        <v>97</v>
      </c>
      <c r="P45" s="115" t="s">
        <v>97</v>
      </c>
      <c r="Q45" s="115" t="s">
        <v>97</v>
      </c>
      <c r="R45" s="115" t="s">
        <v>97</v>
      </c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973</v>
      </c>
      <c r="E47" s="95" t="s">
        <v>19</v>
      </c>
      <c r="F47" s="34">
        <f>D47*67/100000</f>
        <v>0.65190999999999999</v>
      </c>
      <c r="G47" s="99"/>
      <c r="H47" s="99"/>
      <c r="I47" s="99"/>
      <c r="J47" s="99"/>
      <c r="K47" s="99"/>
      <c r="L47" s="99"/>
      <c r="M47" s="115" t="s">
        <v>97</v>
      </c>
      <c r="N47" s="115" t="s">
        <v>97</v>
      </c>
      <c r="O47" s="115" t="s">
        <v>97</v>
      </c>
      <c r="P47" s="115" t="s">
        <v>97</v>
      </c>
      <c r="Q47" s="115" t="s">
        <v>97</v>
      </c>
      <c r="R47" s="115" t="s">
        <v>97</v>
      </c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/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973</v>
      </c>
      <c r="E49" s="95" t="s">
        <v>19</v>
      </c>
      <c r="F49" s="34">
        <f>D49*500/100000</f>
        <v>4.8650000000000002</v>
      </c>
      <c r="G49" s="99"/>
      <c r="H49" s="99"/>
      <c r="I49" s="99"/>
      <c r="J49" s="99"/>
      <c r="K49" s="99"/>
      <c r="L49" s="99"/>
      <c r="M49" s="115" t="s">
        <v>97</v>
      </c>
      <c r="N49" s="115" t="s">
        <v>97</v>
      </c>
      <c r="O49" s="115" t="s">
        <v>97</v>
      </c>
      <c r="P49" s="115" t="s">
        <v>97</v>
      </c>
      <c r="Q49" s="115" t="s">
        <v>97</v>
      </c>
      <c r="R49" s="115" t="s">
        <v>97</v>
      </c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1772</v>
      </c>
      <c r="E50" s="95"/>
      <c r="F50" s="34">
        <f>SUM(F39:F49)</f>
        <v>10.04724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2522</v>
      </c>
      <c r="E64" s="106"/>
      <c r="F64" s="120">
        <f>+F63+F50+F37+F24</f>
        <v>86.029740000000004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25171</v>
      </c>
      <c r="E66" s="121" t="s">
        <v>19</v>
      </c>
      <c r="F66" s="33">
        <f>D66*0.0003</f>
        <v>7.5512999999999995</v>
      </c>
      <c r="G66" s="115" t="s">
        <v>97</v>
      </c>
      <c r="H66" s="115" t="s">
        <v>97</v>
      </c>
      <c r="I66" s="115" t="s">
        <v>97</v>
      </c>
      <c r="J66" s="115" t="s">
        <v>97</v>
      </c>
      <c r="K66" s="115" t="s">
        <v>97</v>
      </c>
      <c r="L66" s="115" t="s">
        <v>97</v>
      </c>
      <c r="M66" s="115" t="s">
        <v>97</v>
      </c>
      <c r="N66" s="115" t="s">
        <v>97</v>
      </c>
      <c r="O66" s="115" t="s">
        <v>97</v>
      </c>
      <c r="P66" s="115" t="s">
        <v>97</v>
      </c>
      <c r="Q66" s="115" t="s">
        <v>97</v>
      </c>
      <c r="R66" s="115" t="s">
        <v>97</v>
      </c>
    </row>
    <row r="67" spans="1:21" ht="15" customHeight="1">
      <c r="A67" s="106"/>
      <c r="B67" s="111" t="s">
        <v>77</v>
      </c>
      <c r="C67" s="111" t="s">
        <v>116</v>
      </c>
      <c r="D67" s="65">
        <v>25171</v>
      </c>
      <c r="E67" s="95" t="s">
        <v>78</v>
      </c>
      <c r="F67" s="33">
        <f>D67*0.0003</f>
        <v>7.5512999999999995</v>
      </c>
      <c r="G67" s="115" t="s">
        <v>97</v>
      </c>
      <c r="H67" s="115" t="s">
        <v>97</v>
      </c>
      <c r="I67" s="115" t="s">
        <v>97</v>
      </c>
      <c r="J67" s="115" t="s">
        <v>97</v>
      </c>
      <c r="K67" s="115" t="s">
        <v>97</v>
      </c>
      <c r="L67" s="115" t="s">
        <v>97</v>
      </c>
      <c r="M67" s="115" t="s">
        <v>97</v>
      </c>
      <c r="N67" s="115" t="s">
        <v>97</v>
      </c>
      <c r="O67" s="115" t="s">
        <v>97</v>
      </c>
      <c r="P67" s="115" t="s">
        <v>97</v>
      </c>
      <c r="Q67" s="115" t="s">
        <v>97</v>
      </c>
      <c r="R67" s="115" t="s">
        <v>97</v>
      </c>
    </row>
    <row r="68" spans="1:21">
      <c r="A68" s="188" t="s">
        <v>69</v>
      </c>
      <c r="B68" s="188"/>
      <c r="C68" s="106"/>
      <c r="D68" s="94">
        <f>D66</f>
        <v>25171</v>
      </c>
      <c r="E68" s="106"/>
      <c r="F68" s="34">
        <f>SUM(F66:F67)</f>
        <v>15.102599999999999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" customHeight="1">
      <c r="A69" s="171">
        <v>4</v>
      </c>
      <c r="B69" s="171" t="s">
        <v>154</v>
      </c>
      <c r="C69" s="95" t="s">
        <v>146</v>
      </c>
      <c r="D69" s="65">
        <v>76910</v>
      </c>
      <c r="E69" s="204" t="s">
        <v>17</v>
      </c>
      <c r="F69" s="63">
        <v>115.36499999999999</v>
      </c>
      <c r="G69" s="175" t="s">
        <v>94</v>
      </c>
      <c r="H69" s="176"/>
      <c r="I69" s="176"/>
      <c r="J69" s="176"/>
      <c r="K69" s="176"/>
      <c r="L69" s="99" t="s">
        <v>86</v>
      </c>
      <c r="M69" s="99" t="s">
        <v>87</v>
      </c>
      <c r="N69" s="99" t="s">
        <v>93</v>
      </c>
      <c r="O69" s="99"/>
      <c r="P69" s="184" t="s">
        <v>92</v>
      </c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>
        <v>79818</v>
      </c>
      <c r="E70" s="205"/>
      <c r="F70" s="56">
        <v>119.72</v>
      </c>
      <c r="G70" s="178"/>
      <c r="H70" s="179"/>
      <c r="I70" s="179"/>
      <c r="J70" s="179"/>
      <c r="K70" s="179"/>
      <c r="L70" s="99" t="s">
        <v>86</v>
      </c>
      <c r="M70" s="99" t="s">
        <v>87</v>
      </c>
      <c r="N70" s="99" t="s">
        <v>93</v>
      </c>
      <c r="O70" s="99"/>
      <c r="P70" s="184" t="s">
        <v>92</v>
      </c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>
        <v>82331</v>
      </c>
      <c r="E71" s="205"/>
      <c r="F71" s="56">
        <v>123.49</v>
      </c>
      <c r="G71" s="178"/>
      <c r="H71" s="179"/>
      <c r="I71" s="179"/>
      <c r="J71" s="179"/>
      <c r="K71" s="179"/>
      <c r="L71" s="99" t="s">
        <v>86</v>
      </c>
      <c r="M71" s="99" t="s">
        <v>87</v>
      </c>
      <c r="N71" s="99" t="s">
        <v>93</v>
      </c>
      <c r="O71" s="99"/>
      <c r="P71" s="184" t="s">
        <v>92</v>
      </c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>
        <v>85000</v>
      </c>
      <c r="E72" s="205"/>
      <c r="F72" s="56">
        <v>127.5</v>
      </c>
      <c r="G72" s="178"/>
      <c r="H72" s="179"/>
      <c r="I72" s="179"/>
      <c r="J72" s="179"/>
      <c r="K72" s="179"/>
      <c r="L72" s="99" t="s">
        <v>86</v>
      </c>
      <c r="M72" s="99" t="s">
        <v>87</v>
      </c>
      <c r="N72" s="99" t="s">
        <v>93</v>
      </c>
      <c r="O72" s="99"/>
      <c r="P72" s="184" t="s">
        <v>92</v>
      </c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>
        <v>82119</v>
      </c>
      <c r="E73" s="206"/>
      <c r="F73" s="56">
        <v>123.17</v>
      </c>
      <c r="G73" s="181"/>
      <c r="H73" s="182"/>
      <c r="I73" s="182"/>
      <c r="J73" s="182"/>
      <c r="K73" s="182"/>
      <c r="L73" s="99" t="s">
        <v>86</v>
      </c>
      <c r="M73" s="99" t="s">
        <v>87</v>
      </c>
      <c r="N73" s="99" t="s">
        <v>93</v>
      </c>
      <c r="O73" s="99"/>
      <c r="P73" s="184" t="s">
        <v>92</v>
      </c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406178</v>
      </c>
      <c r="E74" s="95"/>
      <c r="F74" s="54">
        <f>F69+F70+F71+F72+F73</f>
        <v>609.245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>
        <v>75826</v>
      </c>
      <c r="E75" s="204" t="s">
        <v>17</v>
      </c>
      <c r="F75" s="54">
        <v>189.56</v>
      </c>
      <c r="G75" s="175" t="s">
        <v>94</v>
      </c>
      <c r="H75" s="176"/>
      <c r="I75" s="176"/>
      <c r="J75" s="176"/>
      <c r="K75" s="177"/>
      <c r="L75" s="99" t="s">
        <v>86</v>
      </c>
      <c r="M75" s="99" t="s">
        <v>87</v>
      </c>
      <c r="N75" s="99" t="s">
        <v>93</v>
      </c>
      <c r="O75" s="99"/>
      <c r="P75" s="184" t="s">
        <v>92</v>
      </c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>
        <v>74840</v>
      </c>
      <c r="E76" s="205"/>
      <c r="F76" s="54">
        <v>187.1</v>
      </c>
      <c r="G76" s="178"/>
      <c r="H76" s="179"/>
      <c r="I76" s="179"/>
      <c r="J76" s="179"/>
      <c r="K76" s="180"/>
      <c r="L76" s="99" t="s">
        <v>86</v>
      </c>
      <c r="M76" s="99" t="s">
        <v>87</v>
      </c>
      <c r="N76" s="99" t="s">
        <v>93</v>
      </c>
      <c r="O76" s="99"/>
      <c r="P76" s="184" t="s">
        <v>92</v>
      </c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>
        <v>66131</v>
      </c>
      <c r="E77" s="206"/>
      <c r="F77" s="55">
        <v>165.49</v>
      </c>
      <c r="G77" s="181"/>
      <c r="H77" s="182"/>
      <c r="I77" s="182"/>
      <c r="J77" s="182"/>
      <c r="K77" s="183"/>
      <c r="L77" s="99" t="s">
        <v>86</v>
      </c>
      <c r="M77" s="99" t="s">
        <v>87</v>
      </c>
      <c r="N77" s="99" t="s">
        <v>93</v>
      </c>
      <c r="O77" s="99"/>
      <c r="P77" s="184" t="s">
        <v>92</v>
      </c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216797</v>
      </c>
      <c r="E78" s="95"/>
      <c r="F78" s="36">
        <f>F75+F76+F77</f>
        <v>542.15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23.25" customHeight="1">
      <c r="A79" s="122"/>
      <c r="B79" s="123" t="s">
        <v>156</v>
      </c>
      <c r="C79" s="116" t="s">
        <v>37</v>
      </c>
      <c r="D79" s="66">
        <v>219</v>
      </c>
      <c r="E79" s="95" t="s">
        <v>19</v>
      </c>
      <c r="F79" s="33">
        <v>0.41549999999999998</v>
      </c>
      <c r="G79" s="99"/>
      <c r="H79" s="99"/>
      <c r="I79" s="99"/>
      <c r="J79" s="99"/>
      <c r="K79" s="99"/>
      <c r="L79" s="99" t="s">
        <v>86</v>
      </c>
      <c r="M79" s="99" t="s">
        <v>87</v>
      </c>
      <c r="N79" s="99" t="s">
        <v>93</v>
      </c>
      <c r="O79" s="99"/>
      <c r="P79" s="184" t="s">
        <v>92</v>
      </c>
      <c r="Q79" s="184"/>
      <c r="R79" s="184"/>
      <c r="S79" s="112"/>
      <c r="T79" s="112"/>
      <c r="U79" s="112"/>
    </row>
    <row r="80" spans="1:21" ht="23.25" customHeight="1">
      <c r="A80" s="95"/>
      <c r="B80" s="116" t="s">
        <v>157</v>
      </c>
      <c r="C80" s="116"/>
      <c r="D80" s="66"/>
      <c r="E80" s="95" t="s">
        <v>19</v>
      </c>
      <c r="F80" s="33">
        <v>0</v>
      </c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219</v>
      </c>
      <c r="E81" s="106"/>
      <c r="F81" s="120">
        <f>F80+F79</f>
        <v>0.41549999999999998</v>
      </c>
      <c r="G81" s="99"/>
      <c r="H81" s="99"/>
      <c r="I81" s="99"/>
      <c r="J81" s="99"/>
      <c r="K81" s="99"/>
      <c r="L81" s="99" t="s">
        <v>86</v>
      </c>
      <c r="M81" s="99" t="s">
        <v>87</v>
      </c>
      <c r="N81" s="99" t="s">
        <v>93</v>
      </c>
      <c r="O81" s="99"/>
      <c r="P81" s="184" t="s">
        <v>92</v>
      </c>
      <c r="Q81" s="184"/>
      <c r="R81" s="184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623194</v>
      </c>
      <c r="E82" s="106"/>
      <c r="F82" s="120">
        <f>F81+F78+F74</f>
        <v>1151.8105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23.2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33" customHeight="1">
      <c r="A85" s="95"/>
      <c r="B85" s="116" t="s">
        <v>84</v>
      </c>
      <c r="C85" s="116" t="s">
        <v>42</v>
      </c>
      <c r="D85" s="66">
        <v>622975</v>
      </c>
      <c r="E85" s="172"/>
      <c r="F85" s="33">
        <v>155.74299999999999</v>
      </c>
      <c r="G85" s="127"/>
      <c r="H85" s="97"/>
      <c r="I85" s="97"/>
      <c r="J85" s="97"/>
      <c r="K85" s="97"/>
      <c r="L85" s="99" t="s">
        <v>86</v>
      </c>
      <c r="M85" s="99" t="s">
        <v>87</v>
      </c>
      <c r="N85" s="99" t="s">
        <v>93</v>
      </c>
      <c r="O85" s="99"/>
      <c r="P85" s="184" t="s">
        <v>92</v>
      </c>
      <c r="Q85" s="184"/>
      <c r="R85" s="184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>
        <v>1334</v>
      </c>
      <c r="E86" s="172"/>
      <c r="F86" s="33">
        <v>2</v>
      </c>
      <c r="G86" s="127"/>
      <c r="H86" s="97"/>
      <c r="I86" s="97"/>
      <c r="J86" s="97"/>
      <c r="K86" s="97"/>
      <c r="L86" s="99" t="s">
        <v>86</v>
      </c>
      <c r="M86" s="99" t="s">
        <v>87</v>
      </c>
      <c r="N86" s="99" t="s">
        <v>93</v>
      </c>
      <c r="O86" s="99"/>
      <c r="P86" s="184" t="s">
        <v>92</v>
      </c>
      <c r="Q86" s="184"/>
      <c r="R86" s="184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>
        <v>3076</v>
      </c>
      <c r="E87" s="172"/>
      <c r="F87" s="33">
        <v>0.46100000000000002</v>
      </c>
      <c r="G87" s="127"/>
      <c r="H87" s="97"/>
      <c r="I87" s="97"/>
      <c r="J87" s="97"/>
      <c r="K87" s="97"/>
      <c r="L87" s="99" t="s">
        <v>86</v>
      </c>
      <c r="M87" s="99" t="s">
        <v>87</v>
      </c>
      <c r="N87" s="99" t="s">
        <v>93</v>
      </c>
      <c r="O87" s="99"/>
      <c r="P87" s="184" t="s">
        <v>92</v>
      </c>
      <c r="Q87" s="184"/>
      <c r="R87" s="184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>
        <v>3076</v>
      </c>
      <c r="E88" s="172"/>
      <c r="F88" s="33">
        <v>23.07</v>
      </c>
      <c r="G88" s="127"/>
      <c r="H88" s="97"/>
      <c r="I88" s="97"/>
      <c r="J88" s="97"/>
      <c r="K88" s="97"/>
      <c r="L88" s="99" t="s">
        <v>86</v>
      </c>
      <c r="M88" s="99" t="s">
        <v>87</v>
      </c>
      <c r="N88" s="99" t="s">
        <v>93</v>
      </c>
      <c r="O88" s="99"/>
      <c r="P88" s="184" t="s">
        <v>92</v>
      </c>
      <c r="Q88" s="184"/>
      <c r="R88" s="184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>
        <v>969</v>
      </c>
      <c r="E89" s="173"/>
      <c r="F89" s="33">
        <v>9.69</v>
      </c>
      <c r="G89" s="127"/>
      <c r="H89" s="97"/>
      <c r="I89" s="97"/>
      <c r="J89" s="97"/>
      <c r="K89" s="97"/>
      <c r="L89" s="99" t="s">
        <v>86</v>
      </c>
      <c r="M89" s="99" t="s">
        <v>87</v>
      </c>
      <c r="N89" s="99" t="s">
        <v>93</v>
      </c>
      <c r="O89" s="99"/>
      <c r="P89" s="184" t="s">
        <v>92</v>
      </c>
      <c r="Q89" s="184"/>
      <c r="R89" s="184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631430</v>
      </c>
      <c r="E90" s="106"/>
      <c r="F90" s="34">
        <f>SUM(F84:F89)</f>
        <v>190.964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>
        <v>77439</v>
      </c>
      <c r="E91" s="193" t="s">
        <v>35</v>
      </c>
      <c r="F91" s="117">
        <v>309.75600000000003</v>
      </c>
      <c r="G91" s="99"/>
      <c r="H91" s="99"/>
      <c r="I91" s="99"/>
      <c r="J91" s="99"/>
      <c r="K91" s="99"/>
      <c r="L91" s="99"/>
      <c r="M91" s="128"/>
      <c r="N91" s="129"/>
      <c r="O91" s="129" t="s">
        <v>97</v>
      </c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>
        <v>48346</v>
      </c>
      <c r="E92" s="193"/>
      <c r="F92" s="117">
        <v>193.38400000000001</v>
      </c>
      <c r="G92" s="99"/>
      <c r="H92" s="99"/>
      <c r="I92" s="99"/>
      <c r="J92" s="99"/>
      <c r="K92" s="99"/>
      <c r="L92" s="99"/>
      <c r="M92" s="128"/>
      <c r="N92" s="129"/>
      <c r="O92" s="129" t="s">
        <v>97</v>
      </c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>
        <v>679</v>
      </c>
      <c r="E93" s="193"/>
      <c r="F93" s="117">
        <v>2.7160000000000002</v>
      </c>
      <c r="G93" s="99"/>
      <c r="H93" s="99"/>
      <c r="I93" s="99"/>
      <c r="J93" s="99"/>
      <c r="K93" s="99"/>
      <c r="L93" s="99"/>
      <c r="M93" s="128"/>
      <c r="N93" s="129"/>
      <c r="O93" s="129" t="s">
        <v>97</v>
      </c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>
        <v>106438</v>
      </c>
      <c r="E94" s="193"/>
      <c r="F94" s="117">
        <v>425.75200000000001</v>
      </c>
      <c r="G94" s="99"/>
      <c r="H94" s="99"/>
      <c r="I94" s="99"/>
      <c r="J94" s="99"/>
      <c r="K94" s="99"/>
      <c r="L94" s="99"/>
      <c r="M94" s="128"/>
      <c r="N94" s="99"/>
      <c r="O94" s="99" t="s">
        <v>97</v>
      </c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232902</v>
      </c>
      <c r="E95" s="106"/>
      <c r="F95" s="34">
        <f>SUM(F91:F94)</f>
        <v>931.60800000000006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>
        <v>2107</v>
      </c>
      <c r="E99" s="174" t="s">
        <v>19</v>
      </c>
      <c r="F99" s="33">
        <v>105.35000000000001</v>
      </c>
      <c r="G99" s="99"/>
      <c r="H99" s="99"/>
      <c r="I99" s="99"/>
      <c r="J99" s="99"/>
      <c r="K99" s="99"/>
      <c r="L99" s="99" t="s">
        <v>91</v>
      </c>
      <c r="M99" s="99" t="s">
        <v>91</v>
      </c>
      <c r="N99" s="99" t="s">
        <v>91</v>
      </c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>
        <v>969</v>
      </c>
      <c r="E100" s="174"/>
      <c r="F100" s="33">
        <v>67.830000000000013</v>
      </c>
      <c r="G100" s="99"/>
      <c r="H100" s="99"/>
      <c r="I100" s="99"/>
      <c r="J100" s="99"/>
      <c r="K100" s="99"/>
      <c r="L100" s="99" t="s">
        <v>91</v>
      </c>
      <c r="M100" s="99" t="s">
        <v>91</v>
      </c>
      <c r="N100" s="99" t="s">
        <v>91</v>
      </c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3076</v>
      </c>
      <c r="E101" s="106"/>
      <c r="F101" s="34">
        <f>SUM(F99:F100)</f>
        <v>173.18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3076</v>
      </c>
      <c r="E102" s="95" t="s">
        <v>19</v>
      </c>
      <c r="F102" s="33">
        <v>13.78</v>
      </c>
      <c r="G102" s="99"/>
      <c r="H102" s="99"/>
      <c r="I102" s="133" t="s">
        <v>97</v>
      </c>
      <c r="J102" s="133" t="s">
        <v>97</v>
      </c>
      <c r="K102" s="133" t="s">
        <v>97</v>
      </c>
      <c r="L102" s="133" t="s">
        <v>97</v>
      </c>
      <c r="M102" s="133" t="s">
        <v>97</v>
      </c>
      <c r="N102" s="133" t="s">
        <v>97</v>
      </c>
      <c r="O102" s="133" t="s">
        <v>97</v>
      </c>
      <c r="P102" s="133" t="s">
        <v>97</v>
      </c>
      <c r="Q102" s="133" t="s">
        <v>97</v>
      </c>
      <c r="R102" s="133" t="s">
        <v>97</v>
      </c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3076</v>
      </c>
      <c r="E103" s="106"/>
      <c r="F103" s="34">
        <f>F102</f>
        <v>13.78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1</v>
      </c>
      <c r="G105" s="99"/>
      <c r="H105" s="99"/>
      <c r="I105" s="99"/>
      <c r="J105" s="99"/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</v>
      </c>
      <c r="G106" s="99"/>
      <c r="H106" s="99"/>
      <c r="I106" s="99"/>
      <c r="J106" s="99"/>
      <c r="K106" s="99"/>
      <c r="L106" s="99" t="s">
        <v>97</v>
      </c>
      <c r="M106" s="99" t="s">
        <v>97</v>
      </c>
      <c r="N106" s="99" t="s">
        <v>97</v>
      </c>
      <c r="O106" s="99"/>
      <c r="P106" s="99"/>
      <c r="Q106" s="99"/>
      <c r="R106" s="99"/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5.5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9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>
      <c r="A109" s="121" t="s">
        <v>121</v>
      </c>
      <c r="B109" s="137" t="s">
        <v>122</v>
      </c>
      <c r="C109" s="137" t="s">
        <v>123</v>
      </c>
      <c r="D109" s="66"/>
      <c r="E109" s="95"/>
      <c r="F109" s="136">
        <v>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16.5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2114</v>
      </c>
      <c r="E112" s="95" t="s">
        <v>19</v>
      </c>
      <c r="F112" s="135">
        <v>2.1139999999999999</v>
      </c>
      <c r="G112" s="99"/>
      <c r="H112" s="99"/>
      <c r="I112" s="99"/>
      <c r="J112" s="99"/>
      <c r="K112" s="99"/>
      <c r="L112" s="99"/>
      <c r="M112" s="99" t="s">
        <v>97</v>
      </c>
      <c r="N112" s="99"/>
      <c r="O112" s="99"/>
      <c r="P112" s="99"/>
      <c r="Q112" s="99"/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>
        <v>3076</v>
      </c>
      <c r="E113" s="95" t="s">
        <v>21</v>
      </c>
      <c r="F113" s="135">
        <v>4.6139999999999999</v>
      </c>
      <c r="G113" s="99"/>
      <c r="H113" s="99"/>
      <c r="I113" s="99"/>
      <c r="J113" s="99"/>
      <c r="K113" s="99" t="s">
        <v>97</v>
      </c>
      <c r="L113" s="99" t="s">
        <v>97</v>
      </c>
      <c r="M113" s="99" t="s">
        <v>97</v>
      </c>
      <c r="N113" s="99"/>
      <c r="O113" s="99"/>
      <c r="P113" s="99"/>
      <c r="Q113" s="99"/>
      <c r="R113" s="99"/>
      <c r="S113" s="112"/>
      <c r="T113" s="112"/>
      <c r="U113" s="112"/>
    </row>
    <row r="114" spans="1:21">
      <c r="A114" s="95" t="s">
        <v>59</v>
      </c>
      <c r="B114" s="116" t="s">
        <v>62</v>
      </c>
      <c r="C114" s="116" t="s">
        <v>63</v>
      </c>
      <c r="D114" s="66">
        <v>16</v>
      </c>
      <c r="E114" s="95" t="s">
        <v>21</v>
      </c>
      <c r="F114" s="135">
        <v>28.8</v>
      </c>
      <c r="G114" s="127"/>
      <c r="H114" s="97"/>
      <c r="I114" s="97"/>
      <c r="J114" s="97"/>
      <c r="K114" s="99" t="s">
        <v>97</v>
      </c>
      <c r="L114" s="99" t="s">
        <v>97</v>
      </c>
      <c r="M114" s="99" t="s">
        <v>97</v>
      </c>
      <c r="N114" s="97"/>
      <c r="O114" s="97"/>
      <c r="P114" s="97"/>
      <c r="Q114" s="97"/>
      <c r="R114" s="138"/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2</v>
      </c>
      <c r="E115" s="95"/>
      <c r="F115" s="135">
        <v>1.25</v>
      </c>
      <c r="G115" s="127"/>
      <c r="H115" s="97"/>
      <c r="I115" s="97"/>
      <c r="J115" s="97"/>
      <c r="K115" s="99" t="s">
        <v>97</v>
      </c>
      <c r="L115" s="99" t="s">
        <v>97</v>
      </c>
      <c r="M115" s="99" t="s">
        <v>97</v>
      </c>
      <c r="N115" s="97"/>
      <c r="O115" s="97"/>
      <c r="P115" s="97"/>
      <c r="Q115" s="97"/>
      <c r="R115" s="138"/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5208</v>
      </c>
      <c r="E116" s="106"/>
      <c r="F116" s="34">
        <f>SUM(F112:F115)</f>
        <v>36.777999999999999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2</v>
      </c>
      <c r="E118" s="95" t="s">
        <v>73</v>
      </c>
      <c r="F118" s="135">
        <v>3</v>
      </c>
      <c r="G118" s="99"/>
      <c r="H118" s="99"/>
      <c r="I118" s="99"/>
      <c r="J118" s="133" t="s">
        <v>97</v>
      </c>
      <c r="K118" s="99"/>
      <c r="L118" s="99"/>
      <c r="M118" s="133" t="s">
        <v>97</v>
      </c>
      <c r="N118" s="133" t="s">
        <v>97</v>
      </c>
      <c r="O118" s="133" t="s">
        <v>97</v>
      </c>
      <c r="P118" s="99"/>
      <c r="Q118" s="133"/>
      <c r="R118" s="99"/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199</v>
      </c>
      <c r="E119" s="95" t="s">
        <v>19</v>
      </c>
      <c r="F119" s="135">
        <v>12.25</v>
      </c>
      <c r="G119" s="99"/>
      <c r="H119" s="99"/>
      <c r="I119" s="99"/>
      <c r="J119" s="99"/>
      <c r="K119" s="99"/>
      <c r="L119" s="99"/>
      <c r="M119" s="133"/>
      <c r="N119" s="133"/>
      <c r="O119" s="99"/>
      <c r="P119" s="99"/>
      <c r="Q119" s="99" t="s">
        <v>97</v>
      </c>
      <c r="R119" s="99"/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201</v>
      </c>
      <c r="E120" s="106"/>
      <c r="F120" s="54">
        <f>SUM(F118:F119)</f>
        <v>15.25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>
        <v>16</v>
      </c>
      <c r="E121" s="95" t="s">
        <v>19</v>
      </c>
      <c r="F121" s="135">
        <v>8</v>
      </c>
      <c r="G121" s="133" t="s">
        <v>97</v>
      </c>
      <c r="H121" s="133" t="s">
        <v>97</v>
      </c>
      <c r="I121" s="133" t="s">
        <v>97</v>
      </c>
      <c r="J121" s="133" t="s">
        <v>97</v>
      </c>
      <c r="K121" s="133" t="s">
        <v>97</v>
      </c>
      <c r="L121" s="133" t="s">
        <v>97</v>
      </c>
      <c r="M121" s="133" t="s">
        <v>97</v>
      </c>
      <c r="N121" s="133" t="s">
        <v>97</v>
      </c>
      <c r="O121" s="133" t="s">
        <v>97</v>
      </c>
      <c r="P121" s="133" t="s">
        <v>97</v>
      </c>
      <c r="Q121" s="133" t="s">
        <v>97</v>
      </c>
      <c r="R121" s="133" t="s">
        <v>97</v>
      </c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>
        <f>D121</f>
        <v>16</v>
      </c>
      <c r="E122" s="95" t="s">
        <v>19</v>
      </c>
      <c r="F122" s="135">
        <v>4.8</v>
      </c>
      <c r="G122" s="133" t="s">
        <v>97</v>
      </c>
      <c r="H122" s="133" t="s">
        <v>97</v>
      </c>
      <c r="I122" s="133" t="s">
        <v>97</v>
      </c>
      <c r="J122" s="133" t="s">
        <v>97</v>
      </c>
      <c r="K122" s="133" t="s">
        <v>97</v>
      </c>
      <c r="L122" s="133" t="s">
        <v>97</v>
      </c>
      <c r="M122" s="133" t="s">
        <v>97</v>
      </c>
      <c r="N122" s="133" t="s">
        <v>97</v>
      </c>
      <c r="O122" s="133" t="s">
        <v>97</v>
      </c>
      <c r="P122" s="133" t="s">
        <v>97</v>
      </c>
      <c r="Q122" s="133" t="s">
        <v>97</v>
      </c>
      <c r="R122" s="133" t="s">
        <v>97</v>
      </c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16</v>
      </c>
      <c r="E123" s="106"/>
      <c r="F123" s="54">
        <f>SUM(F121:F122)</f>
        <v>12.8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>
        <v>182</v>
      </c>
      <c r="E124" s="95" t="s">
        <v>19</v>
      </c>
      <c r="F124" s="135">
        <v>18.2</v>
      </c>
      <c r="G124" s="133" t="s">
        <v>97</v>
      </c>
      <c r="H124" s="133" t="s">
        <v>97</v>
      </c>
      <c r="I124" s="133"/>
      <c r="J124" s="133"/>
      <c r="K124" s="133"/>
      <c r="L124" s="133"/>
      <c r="M124" s="133" t="s">
        <v>97</v>
      </c>
      <c r="N124" s="133" t="s">
        <v>97</v>
      </c>
      <c r="O124" s="133" t="s">
        <v>97</v>
      </c>
      <c r="P124" s="133" t="s">
        <v>97</v>
      </c>
      <c r="Q124" s="133" t="s">
        <v>97</v>
      </c>
      <c r="R124" s="133" t="s">
        <v>97</v>
      </c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>
        <v>182</v>
      </c>
      <c r="E125" s="95" t="s">
        <v>19</v>
      </c>
      <c r="F125" s="135">
        <v>21.84</v>
      </c>
      <c r="G125" s="133" t="s">
        <v>97</v>
      </c>
      <c r="H125" s="133" t="s">
        <v>97</v>
      </c>
      <c r="I125" s="133"/>
      <c r="J125" s="133"/>
      <c r="K125" s="133"/>
      <c r="L125" s="133"/>
      <c r="M125" s="133" t="s">
        <v>97</v>
      </c>
      <c r="N125" s="133" t="s">
        <v>97</v>
      </c>
      <c r="O125" s="133" t="s">
        <v>97</v>
      </c>
      <c r="P125" s="133" t="s">
        <v>97</v>
      </c>
      <c r="Q125" s="133" t="s">
        <v>97</v>
      </c>
      <c r="R125" s="133" t="s">
        <v>97</v>
      </c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182</v>
      </c>
      <c r="E126" s="106"/>
      <c r="F126" s="54">
        <f>SUM(F124:F125)</f>
        <v>40.04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98"/>
      <c r="H132" s="98"/>
      <c r="I132" s="98"/>
      <c r="J132" s="98"/>
      <c r="K132" s="98"/>
      <c r="L132" s="133"/>
      <c r="M132" s="133"/>
      <c r="N132" s="133"/>
      <c r="O132" s="133"/>
      <c r="P132" s="133"/>
      <c r="Q132" s="133"/>
      <c r="R132" s="142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344</v>
      </c>
      <c r="E133" s="95" t="s">
        <v>21</v>
      </c>
      <c r="F133" s="135">
        <v>10.32</v>
      </c>
      <c r="G133" s="98"/>
      <c r="H133" s="98"/>
      <c r="I133" s="98"/>
      <c r="J133" s="98"/>
      <c r="K133" s="98"/>
      <c r="L133" s="133" t="s">
        <v>97</v>
      </c>
      <c r="M133" s="133" t="s">
        <v>97</v>
      </c>
      <c r="N133" s="133" t="s">
        <v>97</v>
      </c>
      <c r="O133" s="133" t="s">
        <v>97</v>
      </c>
      <c r="P133" s="133" t="s">
        <v>97</v>
      </c>
      <c r="Q133" s="133" t="s">
        <v>97</v>
      </c>
      <c r="R133" s="145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344</v>
      </c>
      <c r="E134" s="106"/>
      <c r="F134" s="54">
        <f>F133+F132</f>
        <v>10.32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6</v>
      </c>
      <c r="E136" s="95" t="s">
        <v>19</v>
      </c>
      <c r="F136" s="135">
        <v>4.5</v>
      </c>
      <c r="G136" s="99"/>
      <c r="H136" s="99"/>
      <c r="I136" s="99"/>
      <c r="J136" s="99"/>
      <c r="K136" s="99"/>
      <c r="L136" s="99"/>
      <c r="M136" s="99"/>
      <c r="N136" s="133" t="s">
        <v>89</v>
      </c>
      <c r="O136" s="133" t="s">
        <v>90</v>
      </c>
      <c r="P136" s="99" t="s">
        <v>88</v>
      </c>
      <c r="Q136" s="99" t="s">
        <v>92</v>
      </c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>
        <v>16</v>
      </c>
      <c r="E137" s="95" t="s">
        <v>19</v>
      </c>
      <c r="F137" s="135">
        <v>308</v>
      </c>
      <c r="G137" s="133" t="s">
        <v>97</v>
      </c>
      <c r="H137" s="133" t="s">
        <v>97</v>
      </c>
      <c r="I137" s="133" t="s">
        <v>97</v>
      </c>
      <c r="J137" s="133" t="s">
        <v>97</v>
      </c>
      <c r="K137" s="133" t="s">
        <v>97</v>
      </c>
      <c r="L137" s="133" t="s">
        <v>97</v>
      </c>
      <c r="M137" s="133" t="s">
        <v>97</v>
      </c>
      <c r="N137" s="133" t="s">
        <v>97</v>
      </c>
      <c r="O137" s="133" t="s">
        <v>97</v>
      </c>
      <c r="P137" s="133" t="s">
        <v>97</v>
      </c>
      <c r="Q137" s="133" t="s">
        <v>97</v>
      </c>
      <c r="R137" s="133" t="s">
        <v>97</v>
      </c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>
        <v>16</v>
      </c>
      <c r="E138" s="95" t="s">
        <v>19</v>
      </c>
      <c r="F138" s="135">
        <v>16</v>
      </c>
      <c r="G138" s="133" t="s">
        <v>97</v>
      </c>
      <c r="H138" s="133" t="s">
        <v>97</v>
      </c>
      <c r="I138" s="133" t="s">
        <v>97</v>
      </c>
      <c r="J138" s="133" t="s">
        <v>97</v>
      </c>
      <c r="K138" s="133" t="s">
        <v>97</v>
      </c>
      <c r="L138" s="133" t="s">
        <v>97</v>
      </c>
      <c r="M138" s="133" t="s">
        <v>97</v>
      </c>
      <c r="N138" s="133" t="s">
        <v>97</v>
      </c>
      <c r="O138" s="133" t="s">
        <v>97</v>
      </c>
      <c r="P138" s="133" t="s">
        <v>97</v>
      </c>
      <c r="Q138" s="133" t="s">
        <v>97</v>
      </c>
      <c r="R138" s="133" t="s">
        <v>97</v>
      </c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38</v>
      </c>
      <c r="E139" s="106"/>
      <c r="F139" s="54">
        <f>SUM(F136:F138)</f>
        <v>328.5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1527361</v>
      </c>
      <c r="E140" s="146"/>
      <c r="F140" s="148">
        <f>F10+F64+F68+F82+F90+F95+F98+F101+F103+F110+F116+F120+F123+F126+F130+F134+F139</f>
        <v>3022.6628400000004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6">
    <mergeCell ref="A10:B10"/>
    <mergeCell ref="A12:A15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42:A45"/>
    <mergeCell ref="A46:A49"/>
    <mergeCell ref="A50:B50"/>
    <mergeCell ref="A51:A54"/>
    <mergeCell ref="A55:A58"/>
    <mergeCell ref="A16:A19"/>
    <mergeCell ref="A20:A23"/>
    <mergeCell ref="A24:B24"/>
    <mergeCell ref="A25:A28"/>
    <mergeCell ref="A29:A32"/>
    <mergeCell ref="A33:A36"/>
    <mergeCell ref="A37:B37"/>
    <mergeCell ref="A38:A41"/>
    <mergeCell ref="E69:E73"/>
    <mergeCell ref="G69:K73"/>
    <mergeCell ref="P69:R69"/>
    <mergeCell ref="P70:R70"/>
    <mergeCell ref="P71:R71"/>
    <mergeCell ref="P72:R72"/>
    <mergeCell ref="P73:R73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90:B90"/>
    <mergeCell ref="G90:R90"/>
    <mergeCell ref="A91:A94"/>
    <mergeCell ref="B91:B94"/>
    <mergeCell ref="E91:E94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P81:R81"/>
    <mergeCell ref="A98:B98"/>
    <mergeCell ref="G98:R98"/>
    <mergeCell ref="A99:A100"/>
    <mergeCell ref="B99:B100"/>
    <mergeCell ref="E99:E100"/>
    <mergeCell ref="A95:B95"/>
    <mergeCell ref="G95:R95"/>
    <mergeCell ref="A96:A97"/>
    <mergeCell ref="B96:B97"/>
    <mergeCell ref="E96:E97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01:B101"/>
    <mergeCell ref="A103:B103"/>
    <mergeCell ref="C104:F104"/>
    <mergeCell ref="A110:B110"/>
    <mergeCell ref="G110:R11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2" manualBreakCount="2">
    <brk id="38" max="16383" man="1"/>
    <brk id="77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70" zoomScaleSheetLayoutView="70" workbookViewId="0">
      <pane xSplit="2" ySplit="5" topLeftCell="C99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2"/>
    <col min="2" max="2" width="28.140625" style="1" customWidth="1"/>
    <col min="3" max="3" width="19.140625" style="1" bestFit="1" customWidth="1"/>
    <col min="4" max="4" width="12.7109375" style="2" customWidth="1"/>
    <col min="5" max="5" width="17.85546875" style="2" customWidth="1"/>
    <col min="6" max="6" width="16.42578125" style="31" customWidth="1"/>
    <col min="7" max="8" width="9.140625" style="8"/>
    <col min="9" max="9" width="11.5703125" style="8" bestFit="1" customWidth="1"/>
    <col min="10" max="18" width="9.140625" style="8"/>
    <col min="19" max="16384" width="9.140625" style="1"/>
  </cols>
  <sheetData>
    <row r="1" spans="1:21" ht="26.25" customHeight="1">
      <c r="A1" s="292" t="s">
        <v>186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4"/>
    </row>
    <row r="2" spans="1:21" ht="18.75" customHeight="1">
      <c r="A2" s="295" t="s">
        <v>115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7"/>
    </row>
    <row r="3" spans="1:21">
      <c r="A3" s="6"/>
      <c r="B3" s="7"/>
      <c r="C3" s="7"/>
      <c r="D3" s="48"/>
      <c r="E3" s="48"/>
      <c r="F3" s="2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9"/>
    </row>
    <row r="4" spans="1:21" ht="15" customHeight="1">
      <c r="A4" s="261" t="s">
        <v>0</v>
      </c>
      <c r="B4" s="261" t="s">
        <v>1</v>
      </c>
      <c r="C4" s="261" t="s">
        <v>36</v>
      </c>
      <c r="D4" s="261" t="s">
        <v>16</v>
      </c>
      <c r="E4" s="261" t="s">
        <v>2</v>
      </c>
      <c r="F4" s="298" t="s">
        <v>3</v>
      </c>
      <c r="G4" s="261" t="s">
        <v>194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</row>
    <row r="5" spans="1:21">
      <c r="A5" s="261"/>
      <c r="B5" s="261"/>
      <c r="C5" s="261"/>
      <c r="D5" s="261"/>
      <c r="E5" s="261"/>
      <c r="F5" s="298"/>
      <c r="G5" s="40" t="s">
        <v>4</v>
      </c>
      <c r="H5" s="40" t="s">
        <v>5</v>
      </c>
      <c r="I5" s="40" t="s">
        <v>6</v>
      </c>
      <c r="J5" s="40" t="s">
        <v>7</v>
      </c>
      <c r="K5" s="40" t="s">
        <v>8</v>
      </c>
      <c r="L5" s="40" t="s">
        <v>9</v>
      </c>
      <c r="M5" s="40" t="s">
        <v>10</v>
      </c>
      <c r="N5" s="40" t="s">
        <v>11</v>
      </c>
      <c r="O5" s="40" t="s">
        <v>12</v>
      </c>
      <c r="P5" s="40" t="s">
        <v>13</v>
      </c>
      <c r="Q5" s="40" t="s">
        <v>14</v>
      </c>
      <c r="R5" s="40" t="s">
        <v>15</v>
      </c>
    </row>
    <row r="6" spans="1:21">
      <c r="A6" s="11">
        <v>1</v>
      </c>
      <c r="B6" s="10" t="s">
        <v>41</v>
      </c>
      <c r="C6" s="14"/>
      <c r="D6" s="12"/>
      <c r="E6" s="40"/>
      <c r="F6" s="4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1">
      <c r="A7" s="40"/>
      <c r="B7" s="15" t="s">
        <v>75</v>
      </c>
      <c r="C7" s="15" t="s">
        <v>42</v>
      </c>
      <c r="D7" s="16"/>
      <c r="E7" s="43" t="s">
        <v>19</v>
      </c>
      <c r="F7" s="32">
        <v>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21">
      <c r="A8" s="40"/>
      <c r="B8" s="15" t="s">
        <v>76</v>
      </c>
      <c r="C8" s="15" t="s">
        <v>42</v>
      </c>
      <c r="D8" s="16"/>
      <c r="E8" s="43" t="s">
        <v>19</v>
      </c>
      <c r="F8" s="32">
        <v>0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21">
      <c r="A9" s="40"/>
      <c r="B9" s="15" t="s">
        <v>96</v>
      </c>
      <c r="C9" s="15" t="s">
        <v>42</v>
      </c>
      <c r="D9" s="16"/>
      <c r="E9" s="43" t="s">
        <v>19</v>
      </c>
      <c r="F9" s="32">
        <v>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1:21" ht="15" customHeight="1">
      <c r="A10" s="261" t="s">
        <v>69</v>
      </c>
      <c r="B10" s="261"/>
      <c r="C10" s="40"/>
      <c r="D10" s="12">
        <f>+D7</f>
        <v>0</v>
      </c>
      <c r="E10" s="40"/>
      <c r="F10" s="26">
        <f>SUM(F7:F9)</f>
        <v>0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3"/>
      <c r="T10" s="3"/>
      <c r="U10" s="3"/>
    </row>
    <row r="11" spans="1:21">
      <c r="A11" s="40">
        <v>2</v>
      </c>
      <c r="B11" s="10" t="s">
        <v>131</v>
      </c>
      <c r="C11" s="40"/>
      <c r="D11" s="12"/>
      <c r="E11" s="40"/>
      <c r="F11" s="26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21" ht="25.5">
      <c r="A12" s="286">
        <v>2.0099999999999998</v>
      </c>
      <c r="B12" s="37" t="s">
        <v>135</v>
      </c>
      <c r="C12" s="40"/>
      <c r="D12" s="12"/>
      <c r="E12" s="40"/>
      <c r="F12" s="26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21">
      <c r="A13" s="287"/>
      <c r="B13" s="15" t="s">
        <v>75</v>
      </c>
      <c r="C13" s="15" t="s">
        <v>42</v>
      </c>
      <c r="D13" s="16">
        <v>0</v>
      </c>
      <c r="E13" s="43" t="s">
        <v>19</v>
      </c>
      <c r="F13" s="26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21">
      <c r="A14" s="287"/>
      <c r="B14" s="15" t="s">
        <v>76</v>
      </c>
      <c r="C14" s="15" t="s">
        <v>42</v>
      </c>
      <c r="D14" s="16">
        <v>0</v>
      </c>
      <c r="E14" s="43" t="s">
        <v>19</v>
      </c>
      <c r="F14" s="26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21" ht="15" customHeight="1">
      <c r="A15" s="288"/>
      <c r="B15" s="15" t="s">
        <v>96</v>
      </c>
      <c r="C15" s="15" t="s">
        <v>42</v>
      </c>
      <c r="D15" s="16">
        <v>0</v>
      </c>
      <c r="E15" s="43" t="s">
        <v>19</v>
      </c>
      <c r="F15" s="26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21" ht="25.5">
      <c r="A16" s="286">
        <v>2.02</v>
      </c>
      <c r="B16" s="37" t="s">
        <v>143</v>
      </c>
      <c r="C16" s="40"/>
      <c r="D16" s="12"/>
      <c r="E16" s="40"/>
      <c r="F16" s="26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>
      <c r="A17" s="287"/>
      <c r="B17" s="15" t="s">
        <v>75</v>
      </c>
      <c r="C17" s="15" t="s">
        <v>42</v>
      </c>
      <c r="D17" s="69">
        <v>256</v>
      </c>
      <c r="E17" s="88" t="s">
        <v>19</v>
      </c>
      <c r="F17" s="91">
        <f>D17*775/100000</f>
        <v>1.984</v>
      </c>
      <c r="G17" s="40"/>
      <c r="H17" s="40"/>
      <c r="I17" s="40"/>
      <c r="J17" s="40"/>
      <c r="K17" s="40"/>
      <c r="L17" s="40"/>
      <c r="M17" s="20" t="s">
        <v>97</v>
      </c>
      <c r="N17" s="20" t="s">
        <v>97</v>
      </c>
      <c r="O17" s="20" t="s">
        <v>97</v>
      </c>
      <c r="P17" s="20" t="s">
        <v>97</v>
      </c>
      <c r="Q17" s="20" t="s">
        <v>97</v>
      </c>
      <c r="R17" s="20" t="s">
        <v>97</v>
      </c>
    </row>
    <row r="18" spans="1:18">
      <c r="A18" s="287"/>
      <c r="B18" s="15" t="s">
        <v>76</v>
      </c>
      <c r="C18" s="15" t="s">
        <v>42</v>
      </c>
      <c r="D18" s="69">
        <v>256</v>
      </c>
      <c r="E18" s="88" t="s">
        <v>19</v>
      </c>
      <c r="F18" s="78">
        <f>D18*11220/100000</f>
        <v>28.723199999999999</v>
      </c>
      <c r="G18" s="40"/>
      <c r="H18" s="40"/>
      <c r="I18" s="40"/>
      <c r="J18" s="40"/>
      <c r="K18" s="40"/>
      <c r="L18" s="40"/>
      <c r="M18" s="20" t="s">
        <v>97</v>
      </c>
      <c r="N18" s="20" t="s">
        <v>97</v>
      </c>
      <c r="O18" s="20" t="s">
        <v>97</v>
      </c>
      <c r="P18" s="20" t="s">
        <v>97</v>
      </c>
      <c r="Q18" s="20" t="s">
        <v>97</v>
      </c>
      <c r="R18" s="20" t="s">
        <v>97</v>
      </c>
    </row>
    <row r="19" spans="1:18" ht="15" customHeight="1">
      <c r="A19" s="288"/>
      <c r="B19" s="15" t="s">
        <v>96</v>
      </c>
      <c r="C19" s="15" t="s">
        <v>42</v>
      </c>
      <c r="D19" s="69">
        <v>256</v>
      </c>
      <c r="E19" s="88" t="s">
        <v>19</v>
      </c>
      <c r="F19" s="78">
        <f>D19*500/100000</f>
        <v>1.28</v>
      </c>
      <c r="G19" s="40"/>
      <c r="H19" s="40"/>
      <c r="I19" s="40"/>
      <c r="J19" s="40"/>
      <c r="K19" s="40"/>
      <c r="L19" s="40"/>
      <c r="M19" s="20" t="s">
        <v>97</v>
      </c>
      <c r="N19" s="20" t="s">
        <v>97</v>
      </c>
      <c r="O19" s="20" t="s">
        <v>97</v>
      </c>
      <c r="P19" s="20" t="s">
        <v>97</v>
      </c>
      <c r="Q19" s="20" t="s">
        <v>97</v>
      </c>
      <c r="R19" s="20" t="s">
        <v>97</v>
      </c>
    </row>
    <row r="20" spans="1:18" ht="25.5">
      <c r="A20" s="286">
        <v>2.0299999999999998</v>
      </c>
      <c r="B20" s="37" t="s">
        <v>134</v>
      </c>
      <c r="C20" s="40"/>
      <c r="D20" s="12"/>
      <c r="E20" s="40"/>
      <c r="F20" s="26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287"/>
      <c r="B21" s="15" t="s">
        <v>75</v>
      </c>
      <c r="C21" s="15" t="s">
        <v>42</v>
      </c>
      <c r="D21" s="16">
        <v>0</v>
      </c>
      <c r="E21" s="43" t="s">
        <v>19</v>
      </c>
      <c r="F21" s="5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>
      <c r="A22" s="287"/>
      <c r="B22" s="15" t="s">
        <v>76</v>
      </c>
      <c r="C22" s="15" t="s">
        <v>42</v>
      </c>
      <c r="D22" s="16">
        <v>0</v>
      </c>
      <c r="E22" s="43" t="s">
        <v>19</v>
      </c>
      <c r="F22" s="32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ht="15" customHeight="1">
      <c r="A23" s="288"/>
      <c r="B23" s="15" t="s">
        <v>96</v>
      </c>
      <c r="C23" s="15" t="s">
        <v>42</v>
      </c>
      <c r="D23" s="16">
        <v>0</v>
      </c>
      <c r="E23" s="43" t="s">
        <v>19</v>
      </c>
      <c r="F23" s="32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>
      <c r="A24" s="264" t="s">
        <v>158</v>
      </c>
      <c r="B24" s="266"/>
      <c r="C24" s="15"/>
      <c r="D24" s="12">
        <f>+D21+D17+D13</f>
        <v>256</v>
      </c>
      <c r="E24" s="43"/>
      <c r="F24" s="57">
        <f>SUM(F13:F23)</f>
        <v>31.987200000000001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ht="25.5">
      <c r="A25" s="286">
        <v>2.04</v>
      </c>
      <c r="B25" s="37" t="s">
        <v>136</v>
      </c>
      <c r="C25" s="40"/>
      <c r="D25" s="12"/>
      <c r="E25" s="40"/>
      <c r="F25" s="26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287"/>
      <c r="B26" s="15" t="s">
        <v>75</v>
      </c>
      <c r="C26" s="15" t="s">
        <v>42</v>
      </c>
      <c r="D26" s="16">
        <v>0</v>
      </c>
      <c r="E26" s="43" t="s">
        <v>19</v>
      </c>
      <c r="F26" s="26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287"/>
      <c r="B27" s="15" t="s">
        <v>76</v>
      </c>
      <c r="C27" s="15" t="s">
        <v>42</v>
      </c>
      <c r="D27" s="16">
        <v>0</v>
      </c>
      <c r="E27" s="43" t="s">
        <v>19</v>
      </c>
      <c r="F27" s="26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288"/>
      <c r="B28" s="15" t="s">
        <v>96</v>
      </c>
      <c r="C28" s="15" t="s">
        <v>42</v>
      </c>
      <c r="D28" s="16">
        <v>0</v>
      </c>
      <c r="E28" s="43" t="s">
        <v>19</v>
      </c>
      <c r="F28" s="26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ht="25.5">
      <c r="A29" s="286">
        <v>2.0499999999999998</v>
      </c>
      <c r="B29" s="37" t="s">
        <v>132</v>
      </c>
      <c r="C29" s="4"/>
      <c r="D29" s="43"/>
      <c r="E29" s="43"/>
      <c r="F29" s="26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ht="25.5" customHeight="1">
      <c r="A30" s="287"/>
      <c r="B30" s="15" t="s">
        <v>75</v>
      </c>
      <c r="C30" s="15" t="s">
        <v>42</v>
      </c>
      <c r="D30" s="69">
        <v>450</v>
      </c>
      <c r="E30" s="88" t="s">
        <v>19</v>
      </c>
      <c r="F30" s="81">
        <f>D30*775/100000</f>
        <v>3.4874999999999998</v>
      </c>
      <c r="G30" s="40"/>
      <c r="H30" s="40"/>
      <c r="I30" s="40"/>
      <c r="J30" s="40"/>
      <c r="K30" s="40"/>
      <c r="L30" s="40"/>
      <c r="M30" s="20" t="s">
        <v>97</v>
      </c>
      <c r="N30" s="20" t="s">
        <v>97</v>
      </c>
      <c r="O30" s="20" t="s">
        <v>97</v>
      </c>
      <c r="P30" s="20" t="s">
        <v>97</v>
      </c>
      <c r="Q30" s="20" t="s">
        <v>97</v>
      </c>
      <c r="R30" s="20" t="s">
        <v>97</v>
      </c>
    </row>
    <row r="31" spans="1:18" ht="29.25" customHeight="1">
      <c r="A31" s="287"/>
      <c r="B31" s="15" t="s">
        <v>76</v>
      </c>
      <c r="C31" s="15" t="s">
        <v>42</v>
      </c>
      <c r="D31" s="69">
        <v>450</v>
      </c>
      <c r="E31" s="88" t="s">
        <v>19</v>
      </c>
      <c r="F31" s="81">
        <f>D31*11220/100000</f>
        <v>50.49</v>
      </c>
      <c r="G31" s="40"/>
      <c r="H31" s="40"/>
      <c r="I31" s="40"/>
      <c r="J31" s="40"/>
      <c r="K31" s="40"/>
      <c r="L31" s="40"/>
      <c r="M31" s="20" t="s">
        <v>97</v>
      </c>
      <c r="N31" s="20" t="s">
        <v>97</v>
      </c>
      <c r="O31" s="20" t="s">
        <v>97</v>
      </c>
      <c r="P31" s="20" t="s">
        <v>97</v>
      </c>
      <c r="Q31" s="20" t="s">
        <v>97</v>
      </c>
      <c r="R31" s="20" t="s">
        <v>97</v>
      </c>
    </row>
    <row r="32" spans="1:18" ht="25.5" customHeight="1">
      <c r="A32" s="288"/>
      <c r="B32" s="15" t="s">
        <v>96</v>
      </c>
      <c r="C32" s="15" t="s">
        <v>42</v>
      </c>
      <c r="D32" s="69">
        <v>450</v>
      </c>
      <c r="E32" s="88" t="s">
        <v>19</v>
      </c>
      <c r="F32" s="81">
        <f>D32*500/100000</f>
        <v>2.25</v>
      </c>
      <c r="G32" s="40"/>
      <c r="H32" s="40"/>
      <c r="I32" s="40"/>
      <c r="J32" s="40"/>
      <c r="K32" s="40"/>
      <c r="L32" s="40"/>
      <c r="M32" s="20" t="s">
        <v>97</v>
      </c>
      <c r="N32" s="20" t="s">
        <v>97</v>
      </c>
      <c r="O32" s="20" t="s">
        <v>97</v>
      </c>
      <c r="P32" s="20" t="s">
        <v>97</v>
      </c>
      <c r="Q32" s="20" t="s">
        <v>97</v>
      </c>
      <c r="R32" s="20" t="s">
        <v>97</v>
      </c>
    </row>
    <row r="33" spans="1:21" ht="34.5" customHeight="1">
      <c r="A33" s="286">
        <v>2.06</v>
      </c>
      <c r="B33" s="37" t="s">
        <v>133</v>
      </c>
      <c r="C33" s="40"/>
      <c r="D33" s="12"/>
      <c r="E33" s="40"/>
      <c r="F33" s="26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ht="30" customHeight="1">
      <c r="A34" s="287"/>
      <c r="B34" s="15" t="s">
        <v>75</v>
      </c>
      <c r="C34" s="15" t="s">
        <v>42</v>
      </c>
      <c r="D34" s="16"/>
      <c r="E34" s="43" t="s">
        <v>19</v>
      </c>
      <c r="F34" s="50"/>
      <c r="G34" s="40"/>
      <c r="H34" s="40"/>
      <c r="I34" s="40"/>
      <c r="J34" s="40"/>
      <c r="K34" s="40"/>
      <c r="L34" s="40"/>
      <c r="M34" s="20"/>
      <c r="N34" s="20"/>
      <c r="O34" s="40"/>
      <c r="P34" s="40"/>
      <c r="Q34" s="40"/>
      <c r="R34" s="40"/>
    </row>
    <row r="35" spans="1:21" ht="25.5" customHeight="1">
      <c r="A35" s="287"/>
      <c r="B35" s="15" t="s">
        <v>76</v>
      </c>
      <c r="C35" s="15" t="s">
        <v>42</v>
      </c>
      <c r="D35" s="16"/>
      <c r="E35" s="43" t="s">
        <v>19</v>
      </c>
      <c r="F35" s="32"/>
      <c r="G35" s="40"/>
      <c r="H35" s="40"/>
      <c r="I35" s="40"/>
      <c r="J35" s="40"/>
      <c r="K35" s="40"/>
      <c r="L35" s="40"/>
      <c r="M35" s="20"/>
      <c r="N35" s="20"/>
      <c r="O35" s="20"/>
      <c r="P35" s="20"/>
      <c r="Q35" s="20"/>
      <c r="R35" s="20"/>
    </row>
    <row r="36" spans="1:21" ht="34.5" customHeight="1">
      <c r="A36" s="288"/>
      <c r="B36" s="15" t="s">
        <v>96</v>
      </c>
      <c r="C36" s="15" t="s">
        <v>42</v>
      </c>
      <c r="D36" s="16"/>
      <c r="E36" s="43" t="s">
        <v>19</v>
      </c>
      <c r="F36" s="32"/>
      <c r="G36" s="40"/>
      <c r="H36" s="40"/>
      <c r="I36" s="40"/>
      <c r="J36" s="40"/>
      <c r="K36" s="40"/>
      <c r="L36" s="40"/>
      <c r="M36" s="20"/>
      <c r="N36" s="20"/>
      <c r="O36" s="20"/>
      <c r="P36" s="20"/>
      <c r="Q36" s="20"/>
      <c r="R36" s="20"/>
    </row>
    <row r="37" spans="1:21" ht="30" customHeight="1">
      <c r="A37" s="264" t="s">
        <v>159</v>
      </c>
      <c r="B37" s="266"/>
      <c r="C37" s="15"/>
      <c r="D37" s="12">
        <f>+D34+D30+D26</f>
        <v>450</v>
      </c>
      <c r="E37" s="43"/>
      <c r="F37" s="57">
        <f>SUM(F26:F36)</f>
        <v>56.227499999999999</v>
      </c>
      <c r="G37" s="40"/>
      <c r="H37" s="40"/>
      <c r="I37" s="40"/>
      <c r="J37" s="40"/>
      <c r="K37" s="40"/>
      <c r="L37" s="40"/>
      <c r="M37" s="20"/>
      <c r="N37" s="20"/>
      <c r="O37" s="20"/>
      <c r="P37" s="20"/>
      <c r="Q37" s="20"/>
      <c r="R37" s="20"/>
    </row>
    <row r="38" spans="1:21" ht="25.5" customHeight="1">
      <c r="A38" s="286">
        <v>2.0699999999999998</v>
      </c>
      <c r="B38" s="37" t="s">
        <v>137</v>
      </c>
      <c r="C38" s="40"/>
      <c r="D38" s="12"/>
      <c r="E38" s="40"/>
      <c r="F38" s="26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3"/>
      <c r="T38" s="3"/>
      <c r="U38" s="3"/>
    </row>
    <row r="39" spans="1:21">
      <c r="A39" s="287"/>
      <c r="B39" s="15" t="s">
        <v>75</v>
      </c>
      <c r="C39" s="15" t="s">
        <v>42</v>
      </c>
      <c r="D39" s="16">
        <v>0</v>
      </c>
      <c r="E39" s="43" t="s">
        <v>19</v>
      </c>
      <c r="F39" s="26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3"/>
      <c r="T39" s="3"/>
      <c r="U39" s="3"/>
    </row>
    <row r="40" spans="1:21" ht="25.5" customHeight="1">
      <c r="A40" s="287"/>
      <c r="B40" s="15" t="s">
        <v>76</v>
      </c>
      <c r="C40" s="15" t="s">
        <v>42</v>
      </c>
      <c r="D40" s="16">
        <v>0</v>
      </c>
      <c r="E40" s="43" t="s">
        <v>19</v>
      </c>
      <c r="F40" s="26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3"/>
      <c r="T40" s="3"/>
      <c r="U40" s="3"/>
    </row>
    <row r="41" spans="1:21" ht="25.5" customHeight="1">
      <c r="A41" s="288"/>
      <c r="B41" s="15" t="s">
        <v>96</v>
      </c>
      <c r="C41" s="15" t="s">
        <v>42</v>
      </c>
      <c r="D41" s="16">
        <v>0</v>
      </c>
      <c r="E41" s="43" t="s">
        <v>19</v>
      </c>
      <c r="F41" s="26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3"/>
      <c r="T41" s="3"/>
      <c r="U41" s="3"/>
    </row>
    <row r="42" spans="1:21" ht="25.5">
      <c r="A42" s="286">
        <v>2.08</v>
      </c>
      <c r="B42" s="37" t="s">
        <v>138</v>
      </c>
      <c r="C42" s="40"/>
      <c r="D42" s="12"/>
      <c r="E42" s="40"/>
      <c r="F42" s="26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3"/>
      <c r="T42" s="3"/>
      <c r="U42" s="3"/>
    </row>
    <row r="43" spans="1:21">
      <c r="A43" s="287"/>
      <c r="B43" s="15" t="s">
        <v>75</v>
      </c>
      <c r="C43" s="15" t="s">
        <v>42</v>
      </c>
      <c r="D43" s="16"/>
      <c r="E43" s="43" t="s">
        <v>19</v>
      </c>
      <c r="F43" s="52"/>
      <c r="G43" s="42"/>
      <c r="H43" s="42"/>
      <c r="I43" s="42"/>
      <c r="J43" s="42"/>
      <c r="K43" s="42"/>
      <c r="L43" s="42"/>
      <c r="M43" s="86"/>
      <c r="N43" s="86"/>
      <c r="O43" s="86"/>
      <c r="P43" s="86"/>
      <c r="Q43" s="86"/>
      <c r="R43" s="86"/>
      <c r="S43" s="3"/>
      <c r="T43" s="3"/>
      <c r="U43" s="3"/>
    </row>
    <row r="44" spans="1:21">
      <c r="A44" s="287"/>
      <c r="B44" s="15" t="s">
        <v>76</v>
      </c>
      <c r="C44" s="15" t="s">
        <v>42</v>
      </c>
      <c r="D44" s="16"/>
      <c r="E44" s="43" t="s">
        <v>19</v>
      </c>
      <c r="F44" s="52"/>
      <c r="G44" s="42"/>
      <c r="H44" s="42"/>
      <c r="I44" s="42"/>
      <c r="J44" s="42"/>
      <c r="K44" s="42"/>
      <c r="L44" s="42"/>
      <c r="M44" s="86"/>
      <c r="N44" s="86"/>
      <c r="O44" s="86"/>
      <c r="P44" s="86"/>
      <c r="Q44" s="86"/>
      <c r="R44" s="86"/>
      <c r="S44" s="3"/>
      <c r="T44" s="3"/>
      <c r="U44" s="3"/>
    </row>
    <row r="45" spans="1:21">
      <c r="A45" s="288"/>
      <c r="B45" s="15" t="s">
        <v>96</v>
      </c>
      <c r="C45" s="15" t="s">
        <v>42</v>
      </c>
      <c r="D45" s="16"/>
      <c r="E45" s="43" t="s">
        <v>19</v>
      </c>
      <c r="F45" s="52"/>
      <c r="G45" s="42"/>
      <c r="H45" s="42"/>
      <c r="I45" s="42"/>
      <c r="J45" s="42"/>
      <c r="K45" s="42"/>
      <c r="L45" s="42"/>
      <c r="M45" s="86"/>
      <c r="N45" s="86"/>
      <c r="O45" s="86"/>
      <c r="P45" s="86"/>
      <c r="Q45" s="86"/>
      <c r="R45" s="86"/>
      <c r="S45" s="3"/>
      <c r="T45" s="3"/>
      <c r="U45" s="3"/>
    </row>
    <row r="46" spans="1:21" ht="25.5">
      <c r="A46" s="286">
        <v>2.09</v>
      </c>
      <c r="B46" s="37" t="s">
        <v>139</v>
      </c>
      <c r="C46" s="40"/>
      <c r="D46" s="12"/>
      <c r="E46" s="40"/>
      <c r="F46" s="26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3"/>
      <c r="T46" s="3"/>
      <c r="U46" s="3"/>
    </row>
    <row r="47" spans="1:21" ht="25.5" customHeight="1">
      <c r="A47" s="287"/>
      <c r="B47" s="15" t="s">
        <v>75</v>
      </c>
      <c r="C47" s="15" t="s">
        <v>42</v>
      </c>
      <c r="D47" s="16">
        <v>1866</v>
      </c>
      <c r="E47" s="43" t="s">
        <v>19</v>
      </c>
      <c r="F47" s="26">
        <f>D47*67/100000</f>
        <v>1.2502200000000001</v>
      </c>
      <c r="G47" s="42"/>
      <c r="H47" s="42"/>
      <c r="I47" s="42"/>
      <c r="J47" s="42"/>
      <c r="K47" s="42"/>
      <c r="L47" s="42"/>
      <c r="M47" s="20" t="s">
        <v>97</v>
      </c>
      <c r="N47" s="20" t="s">
        <v>97</v>
      </c>
      <c r="O47" s="20" t="s">
        <v>97</v>
      </c>
      <c r="P47" s="20" t="s">
        <v>97</v>
      </c>
      <c r="Q47" s="20" t="s">
        <v>97</v>
      </c>
      <c r="R47" s="20" t="s">
        <v>97</v>
      </c>
      <c r="S47" s="3"/>
      <c r="T47" s="3"/>
      <c r="U47" s="3"/>
    </row>
    <row r="48" spans="1:21">
      <c r="A48" s="287"/>
      <c r="B48" s="15" t="s">
        <v>76</v>
      </c>
      <c r="C48" s="15" t="s">
        <v>42</v>
      </c>
      <c r="D48" s="16"/>
      <c r="E48" s="43" t="s">
        <v>19</v>
      </c>
      <c r="F48" s="26">
        <v>0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3"/>
      <c r="T48" s="3"/>
      <c r="U48" s="3"/>
    </row>
    <row r="49" spans="1:21">
      <c r="A49" s="288"/>
      <c r="B49" s="15" t="s">
        <v>96</v>
      </c>
      <c r="C49" s="15" t="s">
        <v>42</v>
      </c>
      <c r="D49" s="16">
        <v>1866</v>
      </c>
      <c r="E49" s="43" t="s">
        <v>19</v>
      </c>
      <c r="F49" s="26">
        <f>D49*500/100000</f>
        <v>9.33</v>
      </c>
      <c r="G49" s="42"/>
      <c r="H49" s="42"/>
      <c r="I49" s="42"/>
      <c r="J49" s="42"/>
      <c r="K49" s="42"/>
      <c r="L49" s="42"/>
      <c r="M49" s="20" t="s">
        <v>97</v>
      </c>
      <c r="N49" s="20" t="s">
        <v>97</v>
      </c>
      <c r="O49" s="20" t="s">
        <v>97</v>
      </c>
      <c r="P49" s="20" t="s">
        <v>97</v>
      </c>
      <c r="Q49" s="20" t="s">
        <v>97</v>
      </c>
      <c r="R49" s="20" t="s">
        <v>97</v>
      </c>
      <c r="S49" s="3"/>
      <c r="T49" s="3"/>
      <c r="U49" s="3"/>
    </row>
    <row r="50" spans="1:21">
      <c r="A50" s="264" t="s">
        <v>160</v>
      </c>
      <c r="B50" s="266"/>
      <c r="C50" s="15"/>
      <c r="D50" s="12">
        <f>+D47+D43+D39</f>
        <v>1866</v>
      </c>
      <c r="E50" s="43"/>
      <c r="F50" s="26">
        <f>SUM(F39:F49)</f>
        <v>10.580220000000001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3"/>
      <c r="T50" s="3"/>
      <c r="U50" s="3"/>
    </row>
    <row r="51" spans="1:21" ht="25.5">
      <c r="A51" s="289">
        <v>2.1</v>
      </c>
      <c r="B51" s="37" t="s">
        <v>140</v>
      </c>
      <c r="C51" s="40"/>
      <c r="D51" s="12"/>
      <c r="E51" s="40"/>
      <c r="F51" s="26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3"/>
      <c r="T51" s="3"/>
      <c r="U51" s="3"/>
    </row>
    <row r="52" spans="1:21">
      <c r="A52" s="290"/>
      <c r="B52" s="15" t="s">
        <v>75</v>
      </c>
      <c r="C52" s="15" t="s">
        <v>42</v>
      </c>
      <c r="D52" s="16">
        <v>0</v>
      </c>
      <c r="E52" s="43" t="s">
        <v>19</v>
      </c>
      <c r="F52" s="27">
        <v>0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3"/>
      <c r="T52" s="3"/>
      <c r="U52" s="3"/>
    </row>
    <row r="53" spans="1:21" ht="25.5" customHeight="1">
      <c r="A53" s="290"/>
      <c r="B53" s="15" t="s">
        <v>76</v>
      </c>
      <c r="C53" s="15" t="s">
        <v>42</v>
      </c>
      <c r="D53" s="16">
        <v>0</v>
      </c>
      <c r="E53" s="43" t="s">
        <v>19</v>
      </c>
      <c r="F53" s="27">
        <v>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3"/>
      <c r="T53" s="3"/>
      <c r="U53" s="3"/>
    </row>
    <row r="54" spans="1:21">
      <c r="A54" s="291"/>
      <c r="B54" s="15" t="s">
        <v>96</v>
      </c>
      <c r="C54" s="15" t="s">
        <v>42</v>
      </c>
      <c r="D54" s="16">
        <v>0</v>
      </c>
      <c r="E54" s="43" t="s">
        <v>19</v>
      </c>
      <c r="F54" s="27">
        <v>0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3"/>
      <c r="T54" s="3"/>
      <c r="U54" s="3"/>
    </row>
    <row r="55" spans="1:21" ht="25.5">
      <c r="A55" s="286">
        <v>2.11</v>
      </c>
      <c r="B55" s="37" t="s">
        <v>142</v>
      </c>
      <c r="C55" s="4"/>
      <c r="D55" s="43"/>
      <c r="E55" s="43"/>
      <c r="F55" s="26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3"/>
      <c r="T55" s="3"/>
      <c r="U55" s="3"/>
    </row>
    <row r="56" spans="1:21">
      <c r="A56" s="287"/>
      <c r="B56" s="15" t="s">
        <v>75</v>
      </c>
      <c r="C56" s="15" t="s">
        <v>42</v>
      </c>
      <c r="D56" s="16">
        <v>0</v>
      </c>
      <c r="E56" s="43" t="s">
        <v>19</v>
      </c>
      <c r="F56" s="26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3"/>
      <c r="T56" s="3"/>
      <c r="U56" s="3"/>
    </row>
    <row r="57" spans="1:21" ht="15" customHeight="1">
      <c r="A57" s="287"/>
      <c r="B57" s="15" t="s">
        <v>76</v>
      </c>
      <c r="C57" s="15" t="s">
        <v>42</v>
      </c>
      <c r="D57" s="16">
        <v>0</v>
      </c>
      <c r="E57" s="43" t="s">
        <v>19</v>
      </c>
      <c r="F57" s="26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3"/>
      <c r="T57" s="3"/>
      <c r="U57" s="3"/>
    </row>
    <row r="58" spans="1:21">
      <c r="A58" s="288"/>
      <c r="B58" s="15" t="s">
        <v>96</v>
      </c>
      <c r="C58" s="15" t="s">
        <v>42</v>
      </c>
      <c r="D58" s="16">
        <v>0</v>
      </c>
      <c r="E58" s="43" t="s">
        <v>19</v>
      </c>
      <c r="F58" s="26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3"/>
      <c r="T58" s="3"/>
      <c r="U58" s="3"/>
    </row>
    <row r="59" spans="1:21" ht="25.5">
      <c r="A59" s="286">
        <v>2.12</v>
      </c>
      <c r="B59" s="37" t="s">
        <v>141</v>
      </c>
      <c r="C59" s="40"/>
      <c r="D59" s="12"/>
      <c r="E59" s="40"/>
      <c r="F59" s="26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3"/>
      <c r="T59" s="3"/>
      <c r="U59" s="3"/>
    </row>
    <row r="60" spans="1:21" ht="15" customHeight="1">
      <c r="A60" s="287"/>
      <c r="B60" s="15" t="s">
        <v>75</v>
      </c>
      <c r="C60" s="15" t="s">
        <v>42</v>
      </c>
      <c r="D60" s="16">
        <v>0</v>
      </c>
      <c r="E60" s="43" t="s">
        <v>19</v>
      </c>
      <c r="F60" s="26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3"/>
      <c r="T60" s="3"/>
      <c r="U60" s="3"/>
    </row>
    <row r="61" spans="1:21">
      <c r="A61" s="287"/>
      <c r="B61" s="15" t="s">
        <v>76</v>
      </c>
      <c r="C61" s="15" t="s">
        <v>42</v>
      </c>
      <c r="D61" s="16">
        <v>0</v>
      </c>
      <c r="E61" s="43" t="s">
        <v>19</v>
      </c>
      <c r="F61" s="26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3"/>
      <c r="T61" s="3"/>
      <c r="U61" s="3"/>
    </row>
    <row r="62" spans="1:21">
      <c r="A62" s="288"/>
      <c r="B62" s="15" t="s">
        <v>96</v>
      </c>
      <c r="C62" s="15" t="s">
        <v>42</v>
      </c>
      <c r="D62" s="16">
        <v>0</v>
      </c>
      <c r="E62" s="43" t="s">
        <v>19</v>
      </c>
      <c r="F62" s="26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3"/>
      <c r="T62" s="3"/>
      <c r="U62" s="3"/>
    </row>
    <row r="63" spans="1:21" ht="15" customHeight="1">
      <c r="A63" s="264" t="s">
        <v>161</v>
      </c>
      <c r="B63" s="266"/>
      <c r="C63" s="15"/>
      <c r="D63" s="12">
        <f>+D60+D56+D52</f>
        <v>0</v>
      </c>
      <c r="E63" s="43"/>
      <c r="F63" s="26">
        <f>SUM(F52:F62)</f>
        <v>0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3"/>
      <c r="T63" s="3"/>
      <c r="U63" s="3"/>
    </row>
    <row r="64" spans="1:21">
      <c r="A64" s="264" t="s">
        <v>144</v>
      </c>
      <c r="B64" s="266"/>
      <c r="C64" s="40"/>
      <c r="D64" s="79">
        <f>+D63+D50+D37+D24</f>
        <v>2572</v>
      </c>
      <c r="E64" s="87"/>
      <c r="F64" s="92">
        <f>+F63+F50+F37+F24</f>
        <v>98.794920000000005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3"/>
      <c r="T64" s="3"/>
      <c r="U64" s="3"/>
    </row>
    <row r="65" spans="1:21">
      <c r="A65" s="40">
        <v>3</v>
      </c>
      <c r="B65" s="10" t="s">
        <v>43</v>
      </c>
      <c r="C65" s="40"/>
      <c r="D65" s="12"/>
      <c r="E65" s="40"/>
      <c r="F65" s="26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21">
      <c r="A66" s="40"/>
      <c r="B66" s="15" t="s">
        <v>45</v>
      </c>
      <c r="C66" s="15" t="s">
        <v>116</v>
      </c>
      <c r="D66" s="59">
        <v>27930</v>
      </c>
      <c r="E66" s="39" t="s">
        <v>19</v>
      </c>
      <c r="F66" s="33">
        <f>D66*0.0003</f>
        <v>8.3789999999999996</v>
      </c>
      <c r="G66" s="20" t="s">
        <v>97</v>
      </c>
      <c r="H66" s="20" t="s">
        <v>97</v>
      </c>
      <c r="I66" s="20" t="s">
        <v>97</v>
      </c>
      <c r="J66" s="20" t="s">
        <v>97</v>
      </c>
      <c r="K66" s="20" t="s">
        <v>97</v>
      </c>
      <c r="L66" s="20" t="s">
        <v>97</v>
      </c>
      <c r="M66" s="20" t="s">
        <v>97</v>
      </c>
      <c r="N66" s="20" t="s">
        <v>97</v>
      </c>
      <c r="O66" s="20" t="s">
        <v>97</v>
      </c>
      <c r="P66" s="20" t="s">
        <v>97</v>
      </c>
      <c r="Q66" s="20" t="s">
        <v>97</v>
      </c>
      <c r="R66" s="20" t="s">
        <v>97</v>
      </c>
    </row>
    <row r="67" spans="1:21" ht="15" customHeight="1">
      <c r="A67" s="40"/>
      <c r="B67" s="15" t="s">
        <v>77</v>
      </c>
      <c r="C67" s="15" t="s">
        <v>116</v>
      </c>
      <c r="D67" s="16">
        <v>27930</v>
      </c>
      <c r="E67" s="43" t="s">
        <v>78</v>
      </c>
      <c r="F67" s="33">
        <f>D67*0.0003</f>
        <v>8.3789999999999996</v>
      </c>
      <c r="G67" s="20" t="s">
        <v>97</v>
      </c>
      <c r="H67" s="20" t="s">
        <v>97</v>
      </c>
      <c r="I67" s="20" t="s">
        <v>97</v>
      </c>
      <c r="J67" s="20" t="s">
        <v>97</v>
      </c>
      <c r="K67" s="20" t="s">
        <v>97</v>
      </c>
      <c r="L67" s="20" t="s">
        <v>97</v>
      </c>
      <c r="M67" s="20" t="s">
        <v>97</v>
      </c>
      <c r="N67" s="20" t="s">
        <v>97</v>
      </c>
      <c r="O67" s="20" t="s">
        <v>97</v>
      </c>
      <c r="P67" s="20" t="s">
        <v>97</v>
      </c>
      <c r="Q67" s="20" t="s">
        <v>97</v>
      </c>
      <c r="R67" s="20" t="s">
        <v>97</v>
      </c>
    </row>
    <row r="68" spans="1:21">
      <c r="A68" s="261" t="s">
        <v>69</v>
      </c>
      <c r="B68" s="261"/>
      <c r="C68" s="40"/>
      <c r="D68" s="79">
        <f>D66</f>
        <v>27930</v>
      </c>
      <c r="E68" s="83"/>
      <c r="F68" s="81">
        <f>SUM(F66:F67)</f>
        <v>16.757999999999999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3"/>
      <c r="T68" s="3"/>
      <c r="U68" s="3"/>
    </row>
    <row r="69" spans="1:21" ht="15.75" customHeight="1">
      <c r="A69" s="267">
        <v>4</v>
      </c>
      <c r="B69" s="267" t="s">
        <v>154</v>
      </c>
      <c r="C69" s="43" t="s">
        <v>146</v>
      </c>
      <c r="D69" s="69">
        <v>150008</v>
      </c>
      <c r="E69" s="274" t="s">
        <v>17</v>
      </c>
      <c r="F69" s="70">
        <v>225.01</v>
      </c>
      <c r="G69" s="277" t="s">
        <v>94</v>
      </c>
      <c r="H69" s="278"/>
      <c r="I69" s="278"/>
      <c r="J69" s="278"/>
      <c r="K69" s="278"/>
      <c r="L69" s="42" t="s">
        <v>86</v>
      </c>
      <c r="M69" s="42" t="s">
        <v>87</v>
      </c>
      <c r="N69" s="42" t="s">
        <v>93</v>
      </c>
      <c r="O69" s="42"/>
      <c r="P69" s="273" t="s">
        <v>92</v>
      </c>
      <c r="Q69" s="273"/>
      <c r="R69" s="273"/>
      <c r="S69" s="3"/>
      <c r="T69" s="3"/>
      <c r="U69" s="3"/>
    </row>
    <row r="70" spans="1:21">
      <c r="A70" s="268"/>
      <c r="B70" s="268"/>
      <c r="C70" s="43" t="s">
        <v>147</v>
      </c>
      <c r="D70" s="69">
        <v>123156</v>
      </c>
      <c r="E70" s="275"/>
      <c r="F70" s="71">
        <v>184.73</v>
      </c>
      <c r="G70" s="280"/>
      <c r="H70" s="281"/>
      <c r="I70" s="281"/>
      <c r="J70" s="281"/>
      <c r="K70" s="281"/>
      <c r="L70" s="42" t="s">
        <v>86</v>
      </c>
      <c r="M70" s="42" t="s">
        <v>87</v>
      </c>
      <c r="N70" s="42" t="s">
        <v>93</v>
      </c>
      <c r="O70" s="42"/>
      <c r="P70" s="273" t="s">
        <v>92</v>
      </c>
      <c r="Q70" s="273"/>
      <c r="R70" s="273"/>
      <c r="S70" s="3"/>
      <c r="T70" s="3"/>
      <c r="U70" s="3"/>
    </row>
    <row r="71" spans="1:21" ht="15" customHeight="1">
      <c r="A71" s="268"/>
      <c r="B71" s="268"/>
      <c r="C71" s="43" t="s">
        <v>148</v>
      </c>
      <c r="D71" s="69">
        <v>114136</v>
      </c>
      <c r="E71" s="275"/>
      <c r="F71" s="71">
        <v>171.2</v>
      </c>
      <c r="G71" s="280"/>
      <c r="H71" s="281"/>
      <c r="I71" s="281"/>
      <c r="J71" s="281"/>
      <c r="K71" s="281"/>
      <c r="L71" s="42" t="s">
        <v>86</v>
      </c>
      <c r="M71" s="42" t="s">
        <v>87</v>
      </c>
      <c r="N71" s="42" t="s">
        <v>93</v>
      </c>
      <c r="O71" s="42"/>
      <c r="P71" s="273" t="s">
        <v>92</v>
      </c>
      <c r="Q71" s="273"/>
      <c r="R71" s="273"/>
      <c r="S71" s="3"/>
      <c r="T71" s="3"/>
      <c r="U71" s="3"/>
    </row>
    <row r="72" spans="1:21">
      <c r="A72" s="268"/>
      <c r="B72" s="268"/>
      <c r="C72" s="43" t="s">
        <v>149</v>
      </c>
      <c r="D72" s="69">
        <v>100871</v>
      </c>
      <c r="E72" s="275"/>
      <c r="F72" s="71">
        <v>151.30000000000001</v>
      </c>
      <c r="G72" s="280"/>
      <c r="H72" s="281"/>
      <c r="I72" s="281"/>
      <c r="J72" s="281"/>
      <c r="K72" s="281"/>
      <c r="L72" s="42" t="s">
        <v>86</v>
      </c>
      <c r="M72" s="42" t="s">
        <v>87</v>
      </c>
      <c r="N72" s="42" t="s">
        <v>93</v>
      </c>
      <c r="O72" s="42"/>
      <c r="P72" s="273" t="s">
        <v>92</v>
      </c>
      <c r="Q72" s="273"/>
      <c r="R72" s="273"/>
      <c r="S72" s="3"/>
      <c r="T72" s="3"/>
      <c r="U72" s="3"/>
    </row>
    <row r="73" spans="1:21">
      <c r="A73" s="268"/>
      <c r="B73" s="268"/>
      <c r="C73" s="43" t="s">
        <v>150</v>
      </c>
      <c r="D73" s="69">
        <v>92868</v>
      </c>
      <c r="E73" s="276"/>
      <c r="F73" s="71">
        <v>139.30000000000001</v>
      </c>
      <c r="G73" s="283"/>
      <c r="H73" s="284"/>
      <c r="I73" s="284"/>
      <c r="J73" s="284"/>
      <c r="K73" s="284"/>
      <c r="L73" s="42" t="s">
        <v>86</v>
      </c>
      <c r="M73" s="42" t="s">
        <v>87</v>
      </c>
      <c r="N73" s="42" t="s">
        <v>93</v>
      </c>
      <c r="O73" s="42"/>
      <c r="P73" s="273" t="s">
        <v>92</v>
      </c>
      <c r="Q73" s="273"/>
      <c r="R73" s="273"/>
      <c r="S73" s="3"/>
      <c r="T73" s="3"/>
      <c r="U73" s="3"/>
    </row>
    <row r="74" spans="1:21">
      <c r="A74" s="264" t="s">
        <v>162</v>
      </c>
      <c r="B74" s="265"/>
      <c r="C74" s="266"/>
      <c r="D74" s="72">
        <f>D69+D70+D71+D72+D73</f>
        <v>581039</v>
      </c>
      <c r="E74" s="74"/>
      <c r="F74" s="73">
        <f>F69+F70+F71+F72+F73</f>
        <v>871.54</v>
      </c>
      <c r="G74" s="244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6"/>
      <c r="S74" s="3"/>
      <c r="T74" s="3"/>
      <c r="U74" s="3"/>
    </row>
    <row r="75" spans="1:21">
      <c r="A75" s="262">
        <v>4.01</v>
      </c>
      <c r="B75" s="262" t="s">
        <v>155</v>
      </c>
      <c r="C75" s="43" t="s">
        <v>151</v>
      </c>
      <c r="D75" s="69">
        <v>67446</v>
      </c>
      <c r="E75" s="274" t="s">
        <v>17</v>
      </c>
      <c r="F75" s="73">
        <v>168.61</v>
      </c>
      <c r="G75" s="277" t="s">
        <v>94</v>
      </c>
      <c r="H75" s="278"/>
      <c r="I75" s="278"/>
      <c r="J75" s="278"/>
      <c r="K75" s="279"/>
      <c r="L75" s="42" t="s">
        <v>86</v>
      </c>
      <c r="M75" s="42" t="s">
        <v>87</v>
      </c>
      <c r="N75" s="42" t="s">
        <v>93</v>
      </c>
      <c r="O75" s="42"/>
      <c r="P75" s="273" t="s">
        <v>92</v>
      </c>
      <c r="Q75" s="273"/>
      <c r="R75" s="273"/>
      <c r="S75" s="3"/>
      <c r="T75" s="3"/>
      <c r="U75" s="3"/>
    </row>
    <row r="76" spans="1:21" ht="15" customHeight="1">
      <c r="A76" s="262"/>
      <c r="B76" s="262"/>
      <c r="C76" s="43" t="s">
        <v>152</v>
      </c>
      <c r="D76" s="69">
        <v>62486</v>
      </c>
      <c r="E76" s="275"/>
      <c r="F76" s="73">
        <v>156.21</v>
      </c>
      <c r="G76" s="280"/>
      <c r="H76" s="281"/>
      <c r="I76" s="281"/>
      <c r="J76" s="281"/>
      <c r="K76" s="282"/>
      <c r="L76" s="42" t="s">
        <v>86</v>
      </c>
      <c r="M76" s="42" t="s">
        <v>87</v>
      </c>
      <c r="N76" s="42" t="s">
        <v>93</v>
      </c>
      <c r="O76" s="42"/>
      <c r="P76" s="273" t="s">
        <v>92</v>
      </c>
      <c r="Q76" s="273"/>
      <c r="R76" s="273"/>
      <c r="S76" s="3"/>
      <c r="T76" s="3"/>
      <c r="U76" s="3"/>
    </row>
    <row r="77" spans="1:21" ht="15.75" customHeight="1">
      <c r="A77" s="262"/>
      <c r="B77" s="262"/>
      <c r="C77" s="43" t="s">
        <v>153</v>
      </c>
      <c r="D77" s="75">
        <v>47236</v>
      </c>
      <c r="E77" s="276"/>
      <c r="F77" s="85">
        <v>119.04</v>
      </c>
      <c r="G77" s="283"/>
      <c r="H77" s="284"/>
      <c r="I77" s="284"/>
      <c r="J77" s="284"/>
      <c r="K77" s="285"/>
      <c r="L77" s="42" t="s">
        <v>86</v>
      </c>
      <c r="M77" s="42" t="s">
        <v>87</v>
      </c>
      <c r="N77" s="42" t="s">
        <v>93</v>
      </c>
      <c r="O77" s="42"/>
      <c r="P77" s="273" t="s">
        <v>92</v>
      </c>
      <c r="Q77" s="273"/>
      <c r="R77" s="273"/>
      <c r="S77" s="3"/>
      <c r="T77" s="3"/>
      <c r="U77" s="3"/>
    </row>
    <row r="78" spans="1:21">
      <c r="A78" s="264" t="s">
        <v>162</v>
      </c>
      <c r="B78" s="265"/>
      <c r="C78" s="266"/>
      <c r="D78" s="76">
        <f>D75+D76+D77</f>
        <v>177168</v>
      </c>
      <c r="E78" s="74"/>
      <c r="F78" s="77">
        <f>F75+F76+F77</f>
        <v>443.86000000000007</v>
      </c>
      <c r="G78" s="244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6"/>
      <c r="S78" s="3"/>
      <c r="T78" s="3"/>
      <c r="U78" s="3"/>
    </row>
    <row r="79" spans="1:21" ht="33" customHeight="1">
      <c r="A79" s="38"/>
      <c r="B79" s="49" t="s">
        <v>156</v>
      </c>
      <c r="C79" s="4" t="s">
        <v>37</v>
      </c>
      <c r="D79" s="18">
        <v>334</v>
      </c>
      <c r="E79" s="43" t="s">
        <v>19</v>
      </c>
      <c r="F79" s="33">
        <v>0.56999999999999995</v>
      </c>
      <c r="G79" s="42"/>
      <c r="H79" s="42"/>
      <c r="I79" s="42"/>
      <c r="J79" s="42"/>
      <c r="K79" s="42"/>
      <c r="L79" s="86" t="s">
        <v>86</v>
      </c>
      <c r="M79" s="86" t="s">
        <v>87</v>
      </c>
      <c r="N79" s="86" t="s">
        <v>93</v>
      </c>
      <c r="O79" s="86"/>
      <c r="P79" s="273" t="s">
        <v>92</v>
      </c>
      <c r="Q79" s="273"/>
      <c r="R79" s="273"/>
      <c r="S79" s="3"/>
      <c r="T79" s="3"/>
      <c r="U79" s="3"/>
    </row>
    <row r="80" spans="1:21" ht="36" customHeight="1">
      <c r="A80" s="43"/>
      <c r="B80" s="4" t="s">
        <v>157</v>
      </c>
      <c r="C80" s="4"/>
      <c r="D80" s="18">
        <v>862</v>
      </c>
      <c r="E80" s="43" t="s">
        <v>19</v>
      </c>
      <c r="F80" s="33">
        <v>1.4890000000000001</v>
      </c>
      <c r="G80" s="42"/>
      <c r="H80" s="42"/>
      <c r="I80" s="42"/>
      <c r="J80" s="42"/>
      <c r="K80" s="42"/>
      <c r="L80" s="86" t="s">
        <v>86</v>
      </c>
      <c r="M80" s="86" t="s">
        <v>87</v>
      </c>
      <c r="N80" s="86" t="s">
        <v>93</v>
      </c>
      <c r="O80" s="86"/>
      <c r="P80" s="273" t="s">
        <v>92</v>
      </c>
      <c r="Q80" s="273"/>
      <c r="R80" s="273"/>
      <c r="S80" s="3"/>
      <c r="T80" s="3"/>
      <c r="U80" s="3"/>
    </row>
    <row r="81" spans="1:21" ht="23.25" customHeight="1">
      <c r="A81" s="261" t="s">
        <v>162</v>
      </c>
      <c r="B81" s="261"/>
      <c r="C81" s="40"/>
      <c r="D81" s="58">
        <f>D80+D79</f>
        <v>1196</v>
      </c>
      <c r="E81" s="40"/>
      <c r="F81" s="17">
        <f>F80+F79</f>
        <v>2.0590000000000002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3"/>
      <c r="T81" s="3"/>
      <c r="U81" s="3"/>
    </row>
    <row r="82" spans="1:21" ht="23.25" customHeight="1">
      <c r="A82" s="264" t="s">
        <v>163</v>
      </c>
      <c r="B82" s="265"/>
      <c r="C82" s="266"/>
      <c r="D82" s="93">
        <f>D81+D78+D74</f>
        <v>759403</v>
      </c>
      <c r="E82" s="87"/>
      <c r="F82" s="92">
        <f>F81+F78+F74</f>
        <v>1317.4590000000001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"/>
      <c r="T82" s="3"/>
      <c r="U82" s="3"/>
    </row>
    <row r="83" spans="1:21" ht="23.25" customHeight="1">
      <c r="A83" s="43">
        <v>5</v>
      </c>
      <c r="B83" s="19" t="s">
        <v>80</v>
      </c>
      <c r="C83" s="4"/>
      <c r="D83" s="18"/>
      <c r="E83" s="43"/>
      <c r="F83" s="25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3"/>
      <c r="T83" s="3"/>
      <c r="U83" s="3"/>
    </row>
    <row r="84" spans="1:21" ht="23.25" customHeight="1">
      <c r="A84" s="43"/>
      <c r="B84" s="4" t="s">
        <v>81</v>
      </c>
      <c r="C84" s="4" t="s">
        <v>48</v>
      </c>
      <c r="D84" s="75"/>
      <c r="E84" s="270" t="s">
        <v>17</v>
      </c>
      <c r="F84" s="78">
        <v>0</v>
      </c>
      <c r="G84" s="273"/>
      <c r="H84" s="273"/>
      <c r="I84" s="273"/>
      <c r="J84" s="273"/>
      <c r="K84" s="273"/>
      <c r="L84" s="273"/>
      <c r="M84" s="42"/>
      <c r="N84" s="42"/>
      <c r="O84" s="42"/>
      <c r="P84" s="5"/>
      <c r="Q84" s="5"/>
      <c r="R84" s="5"/>
      <c r="S84" s="3"/>
      <c r="T84" s="3"/>
      <c r="U84" s="3"/>
    </row>
    <row r="85" spans="1:21" ht="23.25" customHeight="1">
      <c r="A85" s="43"/>
      <c r="B85" s="4" t="s">
        <v>84</v>
      </c>
      <c r="C85" s="4" t="s">
        <v>42</v>
      </c>
      <c r="D85" s="75">
        <v>758207</v>
      </c>
      <c r="E85" s="271"/>
      <c r="F85" s="78">
        <v>189.55</v>
      </c>
      <c r="G85" s="5"/>
      <c r="H85" s="5"/>
      <c r="I85" s="5"/>
      <c r="J85" s="5"/>
      <c r="K85" s="5"/>
      <c r="L85" s="86" t="s">
        <v>86</v>
      </c>
      <c r="M85" s="86" t="s">
        <v>87</v>
      </c>
      <c r="N85" s="86" t="s">
        <v>93</v>
      </c>
      <c r="O85" s="86"/>
      <c r="P85" s="273" t="s">
        <v>92</v>
      </c>
      <c r="Q85" s="273"/>
      <c r="R85" s="273"/>
      <c r="S85" s="3"/>
      <c r="T85" s="3"/>
      <c r="U85" s="3"/>
    </row>
    <row r="86" spans="1:21">
      <c r="A86" s="43"/>
      <c r="B86" s="4" t="s">
        <v>82</v>
      </c>
      <c r="C86" s="4" t="s">
        <v>83</v>
      </c>
      <c r="D86" s="75">
        <v>14337</v>
      </c>
      <c r="E86" s="271"/>
      <c r="F86" s="78">
        <v>2.15</v>
      </c>
      <c r="G86" s="5"/>
      <c r="H86" s="5"/>
      <c r="I86" s="98"/>
      <c r="J86" s="5"/>
      <c r="K86" s="5"/>
      <c r="L86" s="86" t="s">
        <v>86</v>
      </c>
      <c r="M86" s="86" t="s">
        <v>87</v>
      </c>
      <c r="N86" s="86" t="s">
        <v>93</v>
      </c>
      <c r="O86" s="86"/>
      <c r="P86" s="273" t="s">
        <v>92</v>
      </c>
      <c r="Q86" s="273"/>
      <c r="R86" s="273"/>
      <c r="S86" s="3"/>
      <c r="T86" s="3"/>
      <c r="U86" s="3"/>
    </row>
    <row r="87" spans="1:21">
      <c r="A87" s="43"/>
      <c r="B87" s="4" t="s">
        <v>124</v>
      </c>
      <c r="C87" s="4" t="s">
        <v>48</v>
      </c>
      <c r="D87" s="75">
        <v>3578</v>
      </c>
      <c r="E87" s="271"/>
      <c r="F87" s="78">
        <v>0.53600000000000003</v>
      </c>
      <c r="G87" s="5"/>
      <c r="H87" s="5"/>
      <c r="I87" s="5"/>
      <c r="J87" s="5"/>
      <c r="K87" s="5"/>
      <c r="L87" s="86" t="s">
        <v>86</v>
      </c>
      <c r="M87" s="86" t="s">
        <v>87</v>
      </c>
      <c r="N87" s="86" t="s">
        <v>93</v>
      </c>
      <c r="O87" s="86"/>
      <c r="P87" s="273" t="s">
        <v>92</v>
      </c>
      <c r="Q87" s="273"/>
      <c r="R87" s="273"/>
      <c r="S87" s="3"/>
      <c r="T87" s="3"/>
      <c r="U87" s="3"/>
    </row>
    <row r="88" spans="1:21">
      <c r="A88" s="43"/>
      <c r="B88" s="4" t="s">
        <v>125</v>
      </c>
      <c r="C88" s="4" t="s">
        <v>48</v>
      </c>
      <c r="D88" s="75">
        <v>3578</v>
      </c>
      <c r="E88" s="271"/>
      <c r="F88" s="78">
        <v>26.83</v>
      </c>
      <c r="G88" s="5"/>
      <c r="H88" s="5"/>
      <c r="I88" s="5"/>
      <c r="J88" s="5"/>
      <c r="K88" s="5"/>
      <c r="L88" s="86" t="s">
        <v>86</v>
      </c>
      <c r="M88" s="86" t="s">
        <v>87</v>
      </c>
      <c r="N88" s="86" t="s">
        <v>93</v>
      </c>
      <c r="O88" s="86"/>
      <c r="P88" s="273" t="s">
        <v>92</v>
      </c>
      <c r="Q88" s="273"/>
      <c r="R88" s="273"/>
      <c r="S88" s="3"/>
      <c r="T88" s="3"/>
      <c r="U88" s="3"/>
    </row>
    <row r="89" spans="1:21">
      <c r="A89" s="43"/>
      <c r="B89" s="4" t="s">
        <v>126</v>
      </c>
      <c r="C89" s="4" t="s">
        <v>48</v>
      </c>
      <c r="D89" s="75">
        <v>973</v>
      </c>
      <c r="E89" s="272"/>
      <c r="F89" s="78">
        <v>9.73</v>
      </c>
      <c r="G89" s="5"/>
      <c r="H89" s="5"/>
      <c r="I89" s="5"/>
      <c r="J89" s="5"/>
      <c r="K89" s="5"/>
      <c r="L89" s="86" t="s">
        <v>86</v>
      </c>
      <c r="M89" s="86" t="s">
        <v>87</v>
      </c>
      <c r="N89" s="86" t="s">
        <v>93</v>
      </c>
      <c r="O89" s="86"/>
      <c r="P89" s="273" t="s">
        <v>92</v>
      </c>
      <c r="Q89" s="273"/>
      <c r="R89" s="273"/>
      <c r="S89" s="3"/>
      <c r="T89" s="3"/>
      <c r="U89" s="3"/>
    </row>
    <row r="90" spans="1:21">
      <c r="A90" s="261" t="s">
        <v>69</v>
      </c>
      <c r="B90" s="261"/>
      <c r="C90" s="40"/>
      <c r="D90" s="12">
        <f>SUM(D84:D89)</f>
        <v>780673</v>
      </c>
      <c r="E90" s="40"/>
      <c r="F90" s="26">
        <f>SUM(F84:F89)</f>
        <v>228.79600000000002</v>
      </c>
      <c r="G90" s="244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6"/>
      <c r="S90" s="3"/>
      <c r="T90" s="3"/>
      <c r="U90" s="3"/>
    </row>
    <row r="91" spans="1:21">
      <c r="A91" s="267">
        <v>6</v>
      </c>
      <c r="B91" s="267" t="s">
        <v>23</v>
      </c>
      <c r="C91" s="37" t="s">
        <v>127</v>
      </c>
      <c r="D91" s="69">
        <v>144223</v>
      </c>
      <c r="E91" s="269" t="s">
        <v>35</v>
      </c>
      <c r="F91" s="89">
        <v>576.89200000000005</v>
      </c>
      <c r="G91" s="42"/>
      <c r="H91" s="42"/>
      <c r="I91" s="42"/>
      <c r="J91" s="42"/>
      <c r="K91" s="42"/>
      <c r="L91" s="42"/>
      <c r="M91" s="45"/>
      <c r="N91" s="22"/>
      <c r="O91" s="22" t="s">
        <v>97</v>
      </c>
      <c r="P91" s="46"/>
      <c r="Q91" s="42"/>
      <c r="R91" s="42"/>
      <c r="S91" s="3"/>
      <c r="T91" s="3"/>
      <c r="U91" s="3"/>
    </row>
    <row r="92" spans="1:21" ht="25.5">
      <c r="A92" s="268"/>
      <c r="B92" s="268"/>
      <c r="C92" s="37" t="s">
        <v>128</v>
      </c>
      <c r="D92" s="69">
        <v>39720</v>
      </c>
      <c r="E92" s="269"/>
      <c r="F92" s="89">
        <v>158.88</v>
      </c>
      <c r="G92" s="42"/>
      <c r="H92" s="42"/>
      <c r="I92" s="42"/>
      <c r="J92" s="42"/>
      <c r="K92" s="42"/>
      <c r="L92" s="42"/>
      <c r="M92" s="45"/>
      <c r="N92" s="22"/>
      <c r="O92" s="22" t="s">
        <v>97</v>
      </c>
      <c r="P92" s="46"/>
      <c r="Q92" s="42"/>
      <c r="R92" s="42"/>
      <c r="S92" s="3"/>
      <c r="T92" s="3"/>
      <c r="U92" s="3"/>
    </row>
    <row r="93" spans="1:21" ht="25.5">
      <c r="A93" s="268"/>
      <c r="B93" s="268"/>
      <c r="C93" s="37" t="s">
        <v>129</v>
      </c>
      <c r="D93" s="69">
        <v>18443</v>
      </c>
      <c r="E93" s="269"/>
      <c r="F93" s="89">
        <v>73.772000000000006</v>
      </c>
      <c r="G93" s="42"/>
      <c r="H93" s="42"/>
      <c r="I93" s="42"/>
      <c r="J93" s="42"/>
      <c r="K93" s="42"/>
      <c r="L93" s="42"/>
      <c r="M93" s="45"/>
      <c r="N93" s="22"/>
      <c r="O93" s="22" t="s">
        <v>97</v>
      </c>
      <c r="P93" s="46"/>
      <c r="Q93" s="42"/>
      <c r="R93" s="42"/>
      <c r="S93" s="3"/>
      <c r="T93" s="3"/>
      <c r="U93" s="3"/>
    </row>
    <row r="94" spans="1:21" ht="25.5">
      <c r="A94" s="268"/>
      <c r="B94" s="268"/>
      <c r="C94" s="37" t="s">
        <v>130</v>
      </c>
      <c r="D94" s="69">
        <v>128493</v>
      </c>
      <c r="E94" s="269"/>
      <c r="F94" s="89">
        <v>513.97199999999998</v>
      </c>
      <c r="G94" s="42"/>
      <c r="H94" s="42"/>
      <c r="I94" s="42"/>
      <c r="J94" s="42"/>
      <c r="K94" s="42"/>
      <c r="L94" s="42"/>
      <c r="M94" s="45"/>
      <c r="N94" s="42"/>
      <c r="O94" s="42" t="s">
        <v>97</v>
      </c>
      <c r="P94" s="46"/>
      <c r="Q94" s="42"/>
      <c r="R94" s="42"/>
      <c r="S94" s="3"/>
      <c r="T94" s="3"/>
      <c r="U94" s="3"/>
    </row>
    <row r="95" spans="1:21">
      <c r="A95" s="261" t="s">
        <v>69</v>
      </c>
      <c r="B95" s="261"/>
      <c r="C95" s="40"/>
      <c r="D95" s="12">
        <f>SUM(D91:D94)</f>
        <v>330879</v>
      </c>
      <c r="E95" s="40"/>
      <c r="F95" s="26">
        <f>SUM(F91:F94)</f>
        <v>1323.5160000000001</v>
      </c>
      <c r="G95" s="244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6"/>
      <c r="S95" s="3"/>
      <c r="T95" s="3"/>
      <c r="U95" s="3"/>
    </row>
    <row r="96" spans="1:21" ht="30">
      <c r="A96" s="262">
        <v>7</v>
      </c>
      <c r="B96" s="263" t="s">
        <v>40</v>
      </c>
      <c r="C96" s="44" t="s">
        <v>38</v>
      </c>
      <c r="D96" s="18">
        <v>0</v>
      </c>
      <c r="E96" s="262" t="s">
        <v>19</v>
      </c>
      <c r="F96" s="25">
        <v>0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3"/>
      <c r="T96" s="3"/>
      <c r="U96" s="3"/>
    </row>
    <row r="97" spans="1:21" ht="30">
      <c r="A97" s="262"/>
      <c r="B97" s="263"/>
      <c r="C97" s="44" t="s">
        <v>39</v>
      </c>
      <c r="D97" s="18">
        <v>0</v>
      </c>
      <c r="E97" s="262"/>
      <c r="F97" s="25">
        <v>0</v>
      </c>
      <c r="G97" s="42"/>
      <c r="H97" s="42"/>
      <c r="I97" s="99"/>
      <c r="J97" s="42"/>
      <c r="K97" s="42"/>
      <c r="L97" s="42"/>
      <c r="M97" s="42"/>
      <c r="N97" s="42"/>
      <c r="O97" s="42"/>
      <c r="P97" s="42"/>
      <c r="Q97" s="42"/>
      <c r="R97" s="42"/>
      <c r="S97" s="3"/>
      <c r="T97" s="3"/>
      <c r="U97" s="3"/>
    </row>
    <row r="98" spans="1:21">
      <c r="A98" s="261" t="s">
        <v>69</v>
      </c>
      <c r="B98" s="261"/>
      <c r="C98" s="40"/>
      <c r="D98" s="79">
        <f>SUM(D96:D97)</f>
        <v>0</v>
      </c>
      <c r="E98" s="87"/>
      <c r="F98" s="81">
        <f>SUM(F96:F97)</f>
        <v>0</v>
      </c>
      <c r="G98" s="244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6"/>
      <c r="S98" s="3"/>
      <c r="T98" s="3"/>
      <c r="U98" s="3"/>
    </row>
    <row r="99" spans="1:21" ht="30">
      <c r="A99" s="262">
        <v>8</v>
      </c>
      <c r="B99" s="263" t="s">
        <v>18</v>
      </c>
      <c r="C99" s="44" t="s">
        <v>38</v>
      </c>
      <c r="D99" s="18">
        <v>2605</v>
      </c>
      <c r="E99" s="262" t="s">
        <v>19</v>
      </c>
      <c r="F99" s="25">
        <v>130.25</v>
      </c>
      <c r="G99" s="42"/>
      <c r="H99" s="42"/>
      <c r="I99" s="42"/>
      <c r="J99" s="42"/>
      <c r="K99" s="42"/>
      <c r="L99" s="42" t="s">
        <v>91</v>
      </c>
      <c r="M99" s="42" t="s">
        <v>91</v>
      </c>
      <c r="N99" s="42" t="s">
        <v>91</v>
      </c>
      <c r="P99" s="42"/>
      <c r="Q99" s="42"/>
      <c r="R99" s="42"/>
      <c r="S99" s="3"/>
      <c r="T99" s="3"/>
      <c r="U99" s="3"/>
    </row>
    <row r="100" spans="1:21" ht="30">
      <c r="A100" s="262"/>
      <c r="B100" s="263"/>
      <c r="C100" s="44" t="s">
        <v>39</v>
      </c>
      <c r="D100" s="18">
        <v>973</v>
      </c>
      <c r="E100" s="262"/>
      <c r="F100" s="25">
        <v>68.11</v>
      </c>
      <c r="G100" s="42"/>
      <c r="H100" s="42"/>
      <c r="I100" s="42"/>
      <c r="J100" s="42"/>
      <c r="K100" s="42"/>
      <c r="L100" s="42" t="s">
        <v>91</v>
      </c>
      <c r="M100" s="42" t="s">
        <v>91</v>
      </c>
      <c r="N100" s="42" t="s">
        <v>91</v>
      </c>
      <c r="P100" s="42"/>
      <c r="Q100" s="42"/>
      <c r="R100" s="42"/>
      <c r="S100" s="3"/>
      <c r="T100" s="3"/>
      <c r="U100" s="3"/>
    </row>
    <row r="101" spans="1:21">
      <c r="A101" s="261" t="s">
        <v>69</v>
      </c>
      <c r="B101" s="261"/>
      <c r="C101" s="40"/>
      <c r="D101" s="79">
        <f>SUM(D99:D100)</f>
        <v>3578</v>
      </c>
      <c r="E101" s="87"/>
      <c r="F101" s="81">
        <f>SUM(F99:F100)</f>
        <v>198.36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3"/>
      <c r="T101" s="3"/>
      <c r="U101" s="3"/>
    </row>
    <row r="102" spans="1:21" ht="75">
      <c r="A102" s="43">
        <v>9</v>
      </c>
      <c r="B102" s="44" t="s">
        <v>44</v>
      </c>
      <c r="C102" s="44" t="s">
        <v>48</v>
      </c>
      <c r="D102" s="18">
        <v>3578</v>
      </c>
      <c r="E102" s="43" t="s">
        <v>19</v>
      </c>
      <c r="F102" s="25">
        <v>16.03</v>
      </c>
      <c r="G102" s="42"/>
      <c r="H102" s="42"/>
      <c r="I102" s="21" t="s">
        <v>97</v>
      </c>
      <c r="J102" s="21" t="s">
        <v>97</v>
      </c>
      <c r="K102" s="21" t="s">
        <v>97</v>
      </c>
      <c r="L102" s="21" t="s">
        <v>97</v>
      </c>
      <c r="M102" s="21" t="s">
        <v>97</v>
      </c>
      <c r="N102" s="21" t="s">
        <v>97</v>
      </c>
      <c r="O102" s="21" t="s">
        <v>97</v>
      </c>
      <c r="P102" s="21" t="s">
        <v>97</v>
      </c>
      <c r="Q102" s="21" t="s">
        <v>97</v>
      </c>
      <c r="R102" s="21" t="s">
        <v>97</v>
      </c>
      <c r="S102" s="3"/>
      <c r="T102" s="3"/>
      <c r="U102" s="3"/>
    </row>
    <row r="103" spans="1:21">
      <c r="A103" s="261" t="s">
        <v>69</v>
      </c>
      <c r="B103" s="261"/>
      <c r="C103" s="40"/>
      <c r="D103" s="79">
        <f>SUM(D102)</f>
        <v>3578</v>
      </c>
      <c r="E103" s="87"/>
      <c r="F103" s="81">
        <f>F102</f>
        <v>16.03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3"/>
      <c r="T103" s="3"/>
      <c r="U103" s="3"/>
    </row>
    <row r="104" spans="1:21">
      <c r="A104" s="40">
        <v>10</v>
      </c>
      <c r="B104" s="40" t="s">
        <v>56</v>
      </c>
      <c r="C104" s="264"/>
      <c r="D104" s="265"/>
      <c r="E104" s="265"/>
      <c r="F104" s="266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3"/>
      <c r="T104" s="3"/>
      <c r="U104" s="3"/>
    </row>
    <row r="105" spans="1:21" ht="45">
      <c r="A105" s="43" t="s">
        <v>57</v>
      </c>
      <c r="B105" s="4" t="s">
        <v>20</v>
      </c>
      <c r="C105" s="4" t="s">
        <v>71</v>
      </c>
      <c r="D105" s="18">
        <v>1</v>
      </c>
      <c r="E105" s="43" t="s">
        <v>21</v>
      </c>
      <c r="F105" s="53">
        <v>1</v>
      </c>
      <c r="G105" s="42"/>
      <c r="H105" s="42"/>
      <c r="I105" s="42"/>
      <c r="J105" s="42"/>
      <c r="K105" s="42" t="s">
        <v>97</v>
      </c>
      <c r="L105" s="42" t="s">
        <v>97</v>
      </c>
      <c r="M105" s="42" t="s">
        <v>97</v>
      </c>
      <c r="N105" s="42" t="s">
        <v>97</v>
      </c>
      <c r="O105" s="42" t="s">
        <v>97</v>
      </c>
      <c r="P105" s="42" t="s">
        <v>97</v>
      </c>
      <c r="Q105" s="42" t="s">
        <v>97</v>
      </c>
      <c r="R105" s="42" t="s">
        <v>97</v>
      </c>
      <c r="S105" s="3"/>
      <c r="T105" s="3"/>
      <c r="U105" s="3"/>
    </row>
    <row r="106" spans="1:21" ht="30">
      <c r="A106" s="43" t="s">
        <v>58</v>
      </c>
      <c r="B106" s="4" t="s">
        <v>46</v>
      </c>
      <c r="C106" s="4" t="s">
        <v>71</v>
      </c>
      <c r="D106" s="18">
        <v>1</v>
      </c>
      <c r="E106" s="43" t="s">
        <v>19</v>
      </c>
      <c r="F106" s="28">
        <v>1</v>
      </c>
      <c r="G106" s="42"/>
      <c r="H106" s="42"/>
      <c r="I106" s="42"/>
      <c r="J106" s="42"/>
      <c r="K106" s="42"/>
      <c r="L106" s="42" t="s">
        <v>97</v>
      </c>
      <c r="M106" s="42" t="s">
        <v>97</v>
      </c>
      <c r="N106" s="42" t="s">
        <v>97</v>
      </c>
      <c r="O106" s="42"/>
      <c r="P106" s="42"/>
      <c r="Q106" s="42"/>
      <c r="R106" s="42"/>
      <c r="S106" s="3"/>
      <c r="T106" s="3"/>
      <c r="U106" s="3"/>
    </row>
    <row r="107" spans="1:21" ht="45">
      <c r="A107" s="43" t="s">
        <v>59</v>
      </c>
      <c r="B107" s="4" t="s">
        <v>79</v>
      </c>
      <c r="C107" s="4" t="s">
        <v>71</v>
      </c>
      <c r="D107" s="18">
        <v>1</v>
      </c>
      <c r="E107" s="43" t="s">
        <v>21</v>
      </c>
      <c r="F107" s="29">
        <v>5.5</v>
      </c>
      <c r="G107" s="42" t="s">
        <v>97</v>
      </c>
      <c r="H107" s="42" t="s">
        <v>97</v>
      </c>
      <c r="I107" s="42" t="s">
        <v>97</v>
      </c>
      <c r="J107" s="42" t="s">
        <v>97</v>
      </c>
      <c r="K107" s="42" t="s">
        <v>97</v>
      </c>
      <c r="L107" s="42" t="s">
        <v>97</v>
      </c>
      <c r="M107" s="42" t="s">
        <v>97</v>
      </c>
      <c r="N107" s="42" t="s">
        <v>97</v>
      </c>
      <c r="O107" s="42" t="s">
        <v>97</v>
      </c>
      <c r="P107" s="42" t="s">
        <v>97</v>
      </c>
      <c r="Q107" s="42" t="s">
        <v>97</v>
      </c>
      <c r="R107" s="42" t="s">
        <v>97</v>
      </c>
      <c r="S107" s="3"/>
      <c r="T107" s="3"/>
      <c r="U107" s="3"/>
    </row>
    <row r="108" spans="1:21" ht="30">
      <c r="A108" s="43" t="s">
        <v>60</v>
      </c>
      <c r="B108" s="4" t="s">
        <v>47</v>
      </c>
      <c r="C108" s="4" t="s">
        <v>71</v>
      </c>
      <c r="D108" s="18">
        <v>1</v>
      </c>
      <c r="E108" s="43" t="s">
        <v>21</v>
      </c>
      <c r="F108" s="30">
        <v>15</v>
      </c>
      <c r="G108" s="42" t="s">
        <v>97</v>
      </c>
      <c r="H108" s="42" t="s">
        <v>97</v>
      </c>
      <c r="I108" s="42" t="s">
        <v>97</v>
      </c>
      <c r="J108" s="42" t="s">
        <v>97</v>
      </c>
      <c r="K108" s="42" t="s">
        <v>97</v>
      </c>
      <c r="L108" s="42" t="s">
        <v>97</v>
      </c>
      <c r="M108" s="42" t="s">
        <v>97</v>
      </c>
      <c r="N108" s="42" t="s">
        <v>97</v>
      </c>
      <c r="O108" s="42" t="s">
        <v>97</v>
      </c>
      <c r="P108" s="42" t="s">
        <v>97</v>
      </c>
      <c r="Q108" s="42" t="s">
        <v>97</v>
      </c>
      <c r="R108" s="42" t="s">
        <v>97</v>
      </c>
      <c r="S108" s="3"/>
      <c r="T108" s="3"/>
      <c r="U108" s="3"/>
    </row>
    <row r="109" spans="1:21">
      <c r="A109" s="39" t="s">
        <v>121</v>
      </c>
      <c r="B109" s="23" t="s">
        <v>122</v>
      </c>
      <c r="C109" s="23" t="s">
        <v>123</v>
      </c>
      <c r="D109" s="18"/>
      <c r="E109" s="43"/>
      <c r="F109" s="30">
        <v>0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3"/>
      <c r="T109" s="3"/>
      <c r="U109" s="3"/>
    </row>
    <row r="110" spans="1:21">
      <c r="A110" s="261" t="s">
        <v>69</v>
      </c>
      <c r="B110" s="261"/>
      <c r="C110" s="40"/>
      <c r="D110" s="79">
        <f>D108</f>
        <v>1</v>
      </c>
      <c r="E110" s="87"/>
      <c r="F110" s="81">
        <f>SUM(F105:F109)</f>
        <v>22.5</v>
      </c>
      <c r="G110" s="244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6"/>
      <c r="S110" s="3"/>
      <c r="T110" s="3"/>
      <c r="U110" s="3"/>
    </row>
    <row r="111" spans="1:21">
      <c r="A111" s="40">
        <v>11</v>
      </c>
      <c r="B111" s="40" t="s">
        <v>61</v>
      </c>
      <c r="C111" s="4"/>
      <c r="D111" s="18"/>
      <c r="E111" s="43"/>
      <c r="F111" s="28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3"/>
      <c r="T111" s="3"/>
      <c r="U111" s="3"/>
    </row>
    <row r="112" spans="1:21" ht="30">
      <c r="A112" s="43" t="s">
        <v>57</v>
      </c>
      <c r="B112" s="4" t="s">
        <v>72</v>
      </c>
      <c r="C112" s="4" t="s">
        <v>48</v>
      </c>
      <c r="D112" s="75">
        <v>3102</v>
      </c>
      <c r="E112" s="68" t="s">
        <v>19</v>
      </c>
      <c r="F112" s="82">
        <v>3.1019999999999999</v>
      </c>
      <c r="G112" s="42"/>
      <c r="H112" s="42"/>
      <c r="I112" s="42"/>
      <c r="J112" s="42"/>
      <c r="K112" s="42"/>
      <c r="L112" s="42"/>
      <c r="M112" s="42" t="s">
        <v>97</v>
      </c>
      <c r="N112" s="42"/>
      <c r="O112" s="42"/>
      <c r="P112" s="42"/>
      <c r="Q112" s="42"/>
      <c r="R112" s="42"/>
      <c r="S112" s="3"/>
      <c r="T112" s="3"/>
      <c r="U112" s="3"/>
    </row>
    <row r="113" spans="1:21" ht="30">
      <c r="A113" s="43" t="s">
        <v>58</v>
      </c>
      <c r="B113" s="4" t="s">
        <v>49</v>
      </c>
      <c r="C113" s="23" t="s">
        <v>48</v>
      </c>
      <c r="D113" s="75">
        <v>3578</v>
      </c>
      <c r="E113" s="68" t="s">
        <v>21</v>
      </c>
      <c r="F113" s="82">
        <v>5.367</v>
      </c>
      <c r="G113" s="42"/>
      <c r="H113" s="42"/>
      <c r="I113" s="42"/>
      <c r="J113" s="42"/>
      <c r="K113" s="42" t="s">
        <v>97</v>
      </c>
      <c r="L113" s="42" t="s">
        <v>97</v>
      </c>
      <c r="M113" s="42" t="s">
        <v>97</v>
      </c>
      <c r="N113" s="42"/>
      <c r="O113" s="42"/>
      <c r="P113" s="42"/>
      <c r="Q113" s="42"/>
      <c r="R113" s="42"/>
      <c r="S113" s="3"/>
      <c r="T113" s="3"/>
      <c r="U113" s="3"/>
    </row>
    <row r="114" spans="1:21" ht="24.75" customHeight="1">
      <c r="A114" s="43" t="s">
        <v>59</v>
      </c>
      <c r="B114" s="4" t="s">
        <v>62</v>
      </c>
      <c r="C114" s="4" t="s">
        <v>63</v>
      </c>
      <c r="D114" s="75">
        <v>18</v>
      </c>
      <c r="E114" s="68" t="s">
        <v>21</v>
      </c>
      <c r="F114" s="82">
        <v>32.4</v>
      </c>
      <c r="G114" s="5"/>
      <c r="H114" s="5"/>
      <c r="I114" s="5"/>
      <c r="J114" s="5"/>
      <c r="K114" s="86" t="s">
        <v>97</v>
      </c>
      <c r="L114" s="86" t="s">
        <v>97</v>
      </c>
      <c r="M114" s="86" t="s">
        <v>97</v>
      </c>
      <c r="N114" s="5"/>
      <c r="O114" s="5"/>
      <c r="P114" s="5"/>
      <c r="Q114" s="5"/>
      <c r="R114" s="5"/>
      <c r="S114" s="3"/>
      <c r="T114" s="3"/>
      <c r="U114" s="3"/>
    </row>
    <row r="115" spans="1:21" ht="30">
      <c r="A115" s="39" t="s">
        <v>60</v>
      </c>
      <c r="B115" s="23" t="s">
        <v>120</v>
      </c>
      <c r="C115" s="4"/>
      <c r="D115" s="75">
        <v>2</v>
      </c>
      <c r="E115" s="68"/>
      <c r="F115" s="82">
        <v>1.25</v>
      </c>
      <c r="G115" s="5"/>
      <c r="H115" s="5"/>
      <c r="I115" s="5"/>
      <c r="J115" s="5"/>
      <c r="K115" s="86" t="s">
        <v>97</v>
      </c>
      <c r="L115" s="86" t="s">
        <v>97</v>
      </c>
      <c r="M115" s="86" t="s">
        <v>97</v>
      </c>
      <c r="N115" s="5"/>
      <c r="O115" s="5"/>
      <c r="P115" s="5"/>
      <c r="Q115" s="5"/>
      <c r="R115" s="5"/>
      <c r="S115" s="3"/>
      <c r="T115" s="3"/>
      <c r="U115" s="3"/>
    </row>
    <row r="116" spans="1:21">
      <c r="A116" s="261" t="s">
        <v>69</v>
      </c>
      <c r="B116" s="261"/>
      <c r="C116" s="40"/>
      <c r="D116" s="79">
        <f>SUM(D112:D115)</f>
        <v>6700</v>
      </c>
      <c r="E116" s="80"/>
      <c r="F116" s="81">
        <f>SUM(F112:F115)</f>
        <v>42.119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3"/>
      <c r="T116" s="3"/>
      <c r="U116" s="3"/>
    </row>
    <row r="117" spans="1:21" ht="30">
      <c r="A117" s="40">
        <v>12</v>
      </c>
      <c r="B117" s="19" t="s">
        <v>64</v>
      </c>
      <c r="C117" s="4"/>
      <c r="D117" s="18"/>
      <c r="E117" s="43"/>
      <c r="F117" s="28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3"/>
      <c r="T117" s="3"/>
      <c r="U117" s="3"/>
    </row>
    <row r="118" spans="1:21" ht="45">
      <c r="A118" s="43" t="s">
        <v>57</v>
      </c>
      <c r="B118" s="4" t="s">
        <v>65</v>
      </c>
      <c r="C118" s="4" t="s">
        <v>67</v>
      </c>
      <c r="D118" s="75">
        <v>2</v>
      </c>
      <c r="E118" s="68" t="s">
        <v>73</v>
      </c>
      <c r="F118" s="82">
        <v>3</v>
      </c>
      <c r="G118" s="42"/>
      <c r="H118" s="42"/>
      <c r="I118" s="42"/>
      <c r="J118" s="21" t="s">
        <v>97</v>
      </c>
      <c r="K118" s="42"/>
      <c r="L118" s="42"/>
      <c r="M118" s="21" t="s">
        <v>97</v>
      </c>
      <c r="N118" s="21" t="s">
        <v>97</v>
      </c>
      <c r="O118" s="21" t="s">
        <v>97</v>
      </c>
      <c r="P118" s="42"/>
      <c r="Q118" s="21"/>
      <c r="R118" s="42"/>
      <c r="S118" s="3"/>
      <c r="T118" s="3"/>
      <c r="U118" s="3"/>
    </row>
    <row r="119" spans="1:21" ht="30">
      <c r="A119" s="43" t="s">
        <v>58</v>
      </c>
      <c r="B119" s="4" t="s">
        <v>68</v>
      </c>
      <c r="C119" s="4" t="s">
        <v>66</v>
      </c>
      <c r="D119" s="75">
        <v>212</v>
      </c>
      <c r="E119" s="68" t="s">
        <v>19</v>
      </c>
      <c r="F119" s="82">
        <v>13.1</v>
      </c>
      <c r="G119" s="42"/>
      <c r="H119" s="42"/>
      <c r="I119" s="42"/>
      <c r="J119" s="42"/>
      <c r="K119" s="42"/>
      <c r="L119" s="42"/>
      <c r="M119" s="21"/>
      <c r="N119" s="21"/>
      <c r="O119" s="42"/>
      <c r="P119" s="42"/>
      <c r="Q119" s="42" t="s">
        <v>97</v>
      </c>
      <c r="R119" s="42"/>
      <c r="S119" s="3"/>
      <c r="T119" s="3"/>
      <c r="U119" s="3"/>
    </row>
    <row r="120" spans="1:21">
      <c r="A120" s="261" t="s">
        <v>69</v>
      </c>
      <c r="B120" s="261"/>
      <c r="C120" s="40"/>
      <c r="D120" s="12">
        <f>SUM(D118:D119)</f>
        <v>214</v>
      </c>
      <c r="E120" s="40"/>
      <c r="F120" s="27">
        <f>SUM(F118:F119)</f>
        <v>16.100000000000001</v>
      </c>
      <c r="G120" s="244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6"/>
      <c r="S120" s="3"/>
      <c r="T120" s="3"/>
      <c r="U120" s="3"/>
    </row>
    <row r="121" spans="1:21">
      <c r="A121" s="262">
        <v>13</v>
      </c>
      <c r="B121" s="4" t="s">
        <v>53</v>
      </c>
      <c r="C121" s="4" t="s">
        <v>52</v>
      </c>
      <c r="D121" s="75">
        <v>18</v>
      </c>
      <c r="E121" s="68" t="s">
        <v>19</v>
      </c>
      <c r="F121" s="82">
        <v>9</v>
      </c>
      <c r="G121" s="21" t="s">
        <v>97</v>
      </c>
      <c r="H121" s="21" t="s">
        <v>97</v>
      </c>
      <c r="I121" s="21" t="s">
        <v>97</v>
      </c>
      <c r="J121" s="21" t="s">
        <v>97</v>
      </c>
      <c r="K121" s="21" t="s">
        <v>97</v>
      </c>
      <c r="L121" s="21" t="s">
        <v>97</v>
      </c>
      <c r="M121" s="21" t="s">
        <v>97</v>
      </c>
      <c r="N121" s="21" t="s">
        <v>97</v>
      </c>
      <c r="O121" s="21" t="s">
        <v>97</v>
      </c>
      <c r="P121" s="21" t="s">
        <v>97</v>
      </c>
      <c r="Q121" s="21" t="s">
        <v>97</v>
      </c>
      <c r="R121" s="21" t="s">
        <v>97</v>
      </c>
      <c r="S121" s="3"/>
      <c r="T121" s="3"/>
      <c r="U121" s="3"/>
    </row>
    <row r="122" spans="1:21">
      <c r="A122" s="262"/>
      <c r="B122" s="4" t="s">
        <v>54</v>
      </c>
      <c r="C122" s="4" t="s">
        <v>52</v>
      </c>
      <c r="D122" s="75">
        <f>D121</f>
        <v>18</v>
      </c>
      <c r="E122" s="68" t="s">
        <v>19</v>
      </c>
      <c r="F122" s="82">
        <v>5.3999999999999995</v>
      </c>
      <c r="G122" s="21" t="s">
        <v>97</v>
      </c>
      <c r="H122" s="21" t="s">
        <v>97</v>
      </c>
      <c r="I122" s="21" t="s">
        <v>97</v>
      </c>
      <c r="J122" s="21" t="s">
        <v>97</v>
      </c>
      <c r="K122" s="21" t="s">
        <v>97</v>
      </c>
      <c r="L122" s="21" t="s">
        <v>97</v>
      </c>
      <c r="M122" s="21" t="s">
        <v>97</v>
      </c>
      <c r="N122" s="21" t="s">
        <v>97</v>
      </c>
      <c r="O122" s="21" t="s">
        <v>97</v>
      </c>
      <c r="P122" s="21" t="s">
        <v>97</v>
      </c>
      <c r="Q122" s="21" t="s">
        <v>97</v>
      </c>
      <c r="R122" s="21" t="s">
        <v>97</v>
      </c>
      <c r="S122" s="3"/>
      <c r="T122" s="3"/>
      <c r="U122" s="3"/>
    </row>
    <row r="123" spans="1:21">
      <c r="A123" s="261" t="s">
        <v>69</v>
      </c>
      <c r="B123" s="261"/>
      <c r="C123" s="40"/>
      <c r="D123" s="79">
        <f>D121</f>
        <v>18</v>
      </c>
      <c r="E123" s="80"/>
      <c r="F123" s="73">
        <f>SUM(F121:F122)</f>
        <v>14.399999999999999</v>
      </c>
      <c r="G123" s="244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6"/>
      <c r="S123" s="3"/>
      <c r="T123" s="3"/>
      <c r="U123" s="3"/>
    </row>
    <row r="124" spans="1:21">
      <c r="A124" s="43">
        <v>14</v>
      </c>
      <c r="B124" s="4" t="s">
        <v>55</v>
      </c>
      <c r="C124" s="4" t="s">
        <v>51</v>
      </c>
      <c r="D124" s="75">
        <v>193</v>
      </c>
      <c r="E124" s="68" t="s">
        <v>19</v>
      </c>
      <c r="F124" s="82">
        <v>19.3</v>
      </c>
      <c r="G124" s="21" t="s">
        <v>97</v>
      </c>
      <c r="H124" s="21" t="s">
        <v>97</v>
      </c>
      <c r="I124" s="21"/>
      <c r="J124" s="21"/>
      <c r="K124" s="21"/>
      <c r="L124" s="21"/>
      <c r="M124" s="21" t="s">
        <v>97</v>
      </c>
      <c r="N124" s="21" t="s">
        <v>97</v>
      </c>
      <c r="O124" s="21" t="s">
        <v>97</v>
      </c>
      <c r="P124" s="21" t="s">
        <v>97</v>
      </c>
      <c r="Q124" s="21" t="s">
        <v>97</v>
      </c>
      <c r="R124" s="21" t="s">
        <v>97</v>
      </c>
      <c r="S124" s="3"/>
      <c r="T124" s="3"/>
      <c r="U124" s="3"/>
    </row>
    <row r="125" spans="1:21">
      <c r="A125" s="43"/>
      <c r="B125" s="4" t="s">
        <v>54</v>
      </c>
      <c r="C125" s="4" t="s">
        <v>51</v>
      </c>
      <c r="D125" s="75">
        <v>193</v>
      </c>
      <c r="E125" s="68" t="s">
        <v>19</v>
      </c>
      <c r="F125" s="82">
        <v>23.16</v>
      </c>
      <c r="G125" s="21" t="s">
        <v>97</v>
      </c>
      <c r="H125" s="21" t="s">
        <v>97</v>
      </c>
      <c r="I125" s="21"/>
      <c r="J125" s="21"/>
      <c r="K125" s="21"/>
      <c r="L125" s="21"/>
      <c r="M125" s="21" t="s">
        <v>97</v>
      </c>
      <c r="N125" s="21" t="s">
        <v>97</v>
      </c>
      <c r="O125" s="21" t="s">
        <v>97</v>
      </c>
      <c r="P125" s="21" t="s">
        <v>97</v>
      </c>
      <c r="Q125" s="21" t="s">
        <v>97</v>
      </c>
      <c r="R125" s="21" t="s">
        <v>97</v>
      </c>
      <c r="S125" s="3"/>
      <c r="T125" s="3"/>
      <c r="U125" s="3"/>
    </row>
    <row r="126" spans="1:21">
      <c r="A126" s="261" t="s">
        <v>69</v>
      </c>
      <c r="B126" s="261"/>
      <c r="C126" s="40"/>
      <c r="D126" s="79">
        <f>D124</f>
        <v>193</v>
      </c>
      <c r="E126" s="80"/>
      <c r="F126" s="73">
        <f>SUM(F124:F125)</f>
        <v>42.46</v>
      </c>
      <c r="G126" s="244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6"/>
      <c r="S126" s="3"/>
      <c r="T126" s="3"/>
      <c r="U126" s="3"/>
    </row>
    <row r="127" spans="1:21">
      <c r="A127" s="40">
        <v>15</v>
      </c>
      <c r="B127" s="40" t="s">
        <v>117</v>
      </c>
      <c r="C127" s="40"/>
      <c r="D127" s="12"/>
      <c r="E127" s="40"/>
      <c r="F127" s="27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3"/>
      <c r="T127" s="3"/>
      <c r="U127" s="3"/>
    </row>
    <row r="128" spans="1:21" ht="30">
      <c r="A128" s="43"/>
      <c r="B128" s="35" t="s">
        <v>118</v>
      </c>
      <c r="C128" s="39" t="s">
        <v>50</v>
      </c>
      <c r="D128" s="16">
        <v>0</v>
      </c>
      <c r="E128" s="39" t="s">
        <v>26</v>
      </c>
      <c r="F128" s="27">
        <v>0</v>
      </c>
      <c r="G128" s="21"/>
      <c r="H128" s="21"/>
      <c r="I128" s="21"/>
      <c r="J128" s="21"/>
      <c r="K128" s="21"/>
      <c r="L128" s="21"/>
      <c r="M128" s="42"/>
      <c r="N128" s="21"/>
      <c r="O128" s="21"/>
      <c r="P128" s="21"/>
      <c r="Q128" s="21"/>
      <c r="R128" s="21"/>
      <c r="S128" s="3"/>
      <c r="T128" s="3"/>
      <c r="U128" s="3"/>
    </row>
    <row r="129" spans="1:21" ht="30">
      <c r="A129" s="43"/>
      <c r="B129" s="35" t="s">
        <v>119</v>
      </c>
      <c r="C129" s="39" t="s">
        <v>50</v>
      </c>
      <c r="D129" s="16">
        <v>0</v>
      </c>
      <c r="E129" s="39" t="s">
        <v>26</v>
      </c>
      <c r="F129" s="27">
        <v>0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3"/>
      <c r="T129" s="3"/>
      <c r="U129" s="3"/>
    </row>
    <row r="130" spans="1:21">
      <c r="A130" s="261" t="s">
        <v>69</v>
      </c>
      <c r="B130" s="261"/>
      <c r="C130" s="40"/>
      <c r="D130" s="79">
        <f>D128</f>
        <v>0</v>
      </c>
      <c r="E130" s="87"/>
      <c r="F130" s="73">
        <f>SUM(F128:F129)</f>
        <v>0</v>
      </c>
      <c r="G130" s="244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6"/>
      <c r="S130" s="3"/>
      <c r="T130" s="3"/>
      <c r="U130" s="3"/>
    </row>
    <row r="131" spans="1:21">
      <c r="A131" s="40">
        <v>16</v>
      </c>
      <c r="B131" s="40" t="s">
        <v>74</v>
      </c>
      <c r="C131" s="39"/>
      <c r="D131" s="40"/>
      <c r="E131" s="39"/>
      <c r="F131" s="27"/>
      <c r="G131" s="244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6"/>
      <c r="S131" s="3"/>
      <c r="T131" s="3"/>
      <c r="U131" s="3"/>
    </row>
    <row r="132" spans="1:21">
      <c r="A132" s="262"/>
      <c r="B132" s="263" t="s">
        <v>22</v>
      </c>
      <c r="C132" s="44" t="s">
        <v>37</v>
      </c>
      <c r="D132" s="43"/>
      <c r="E132" s="43" t="s">
        <v>19</v>
      </c>
      <c r="F132" s="28">
        <v>0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3"/>
      <c r="T132" s="3"/>
      <c r="U132" s="3"/>
    </row>
    <row r="133" spans="1:21">
      <c r="A133" s="262"/>
      <c r="B133" s="263"/>
      <c r="C133" s="44" t="s">
        <v>42</v>
      </c>
      <c r="D133" s="68">
        <v>1046</v>
      </c>
      <c r="E133" s="68" t="s">
        <v>21</v>
      </c>
      <c r="F133" s="82">
        <v>31.38</v>
      </c>
      <c r="G133" s="5"/>
      <c r="H133" s="5"/>
      <c r="I133" s="5"/>
      <c r="J133" s="5"/>
      <c r="K133" s="5"/>
      <c r="L133" s="5"/>
      <c r="M133" s="21" t="s">
        <v>97</v>
      </c>
      <c r="N133" s="21" t="s">
        <v>97</v>
      </c>
      <c r="O133" s="21" t="s">
        <v>97</v>
      </c>
      <c r="P133" s="21" t="s">
        <v>97</v>
      </c>
      <c r="Q133" s="21" t="s">
        <v>97</v>
      </c>
      <c r="R133" s="21" t="s">
        <v>97</v>
      </c>
      <c r="S133" s="3"/>
      <c r="T133" s="3"/>
      <c r="U133" s="3"/>
    </row>
    <row r="134" spans="1:21">
      <c r="A134" s="261" t="s">
        <v>69</v>
      </c>
      <c r="B134" s="261"/>
      <c r="C134" s="40"/>
      <c r="D134" s="79">
        <f>D132+D133</f>
        <v>1046</v>
      </c>
      <c r="E134" s="80"/>
      <c r="F134" s="73">
        <f>F133+F132</f>
        <v>31.38</v>
      </c>
      <c r="G134" s="244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6"/>
      <c r="S134" s="3"/>
      <c r="T134" s="3"/>
      <c r="U134" s="3"/>
    </row>
    <row r="135" spans="1:21">
      <c r="A135" s="40">
        <v>17</v>
      </c>
      <c r="B135" s="40" t="s">
        <v>70</v>
      </c>
      <c r="C135" s="40"/>
      <c r="D135" s="40"/>
      <c r="E135" s="40"/>
      <c r="F135" s="27"/>
      <c r="G135" s="244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6"/>
      <c r="S135" s="3"/>
      <c r="T135" s="3"/>
      <c r="U135" s="3"/>
    </row>
    <row r="136" spans="1:21">
      <c r="A136" s="39"/>
      <c r="B136" s="15" t="s">
        <v>75</v>
      </c>
      <c r="C136" s="15" t="s">
        <v>42</v>
      </c>
      <c r="D136" s="84">
        <v>11</v>
      </c>
      <c r="E136" s="68" t="s">
        <v>19</v>
      </c>
      <c r="F136" s="82">
        <v>8.25</v>
      </c>
      <c r="G136" s="42"/>
      <c r="H136" s="42"/>
      <c r="I136" s="42"/>
      <c r="J136" s="42"/>
      <c r="K136" s="42"/>
      <c r="L136" s="42"/>
      <c r="M136" s="42"/>
      <c r="N136" s="21" t="s">
        <v>89</v>
      </c>
      <c r="O136" s="21" t="s">
        <v>90</v>
      </c>
      <c r="P136" s="42" t="s">
        <v>88</v>
      </c>
      <c r="Q136" s="42" t="s">
        <v>92</v>
      </c>
      <c r="R136" s="42"/>
      <c r="S136" s="3"/>
      <c r="T136" s="3"/>
      <c r="U136" s="3"/>
    </row>
    <row r="137" spans="1:21">
      <c r="A137" s="39"/>
      <c r="B137" s="15" t="s">
        <v>76</v>
      </c>
      <c r="C137" s="15" t="s">
        <v>42</v>
      </c>
      <c r="D137" s="84">
        <v>18</v>
      </c>
      <c r="E137" s="68" t="s">
        <v>19</v>
      </c>
      <c r="F137" s="82">
        <v>346.5</v>
      </c>
      <c r="G137" s="21" t="s">
        <v>97</v>
      </c>
      <c r="H137" s="21" t="s">
        <v>97</v>
      </c>
      <c r="I137" s="21" t="s">
        <v>97</v>
      </c>
      <c r="J137" s="21" t="s">
        <v>97</v>
      </c>
      <c r="K137" s="21" t="s">
        <v>97</v>
      </c>
      <c r="L137" s="21" t="s">
        <v>97</v>
      </c>
      <c r="M137" s="21" t="s">
        <v>97</v>
      </c>
      <c r="N137" s="21" t="s">
        <v>97</v>
      </c>
      <c r="O137" s="21" t="s">
        <v>97</v>
      </c>
      <c r="P137" s="21" t="s">
        <v>97</v>
      </c>
      <c r="Q137" s="21" t="s">
        <v>97</v>
      </c>
      <c r="R137" s="21" t="s">
        <v>97</v>
      </c>
      <c r="S137" s="3"/>
      <c r="T137" s="3"/>
      <c r="U137" s="3"/>
    </row>
    <row r="138" spans="1:21">
      <c r="A138" s="39"/>
      <c r="B138" s="15" t="s">
        <v>96</v>
      </c>
      <c r="C138" s="15" t="s">
        <v>42</v>
      </c>
      <c r="D138" s="84">
        <v>18</v>
      </c>
      <c r="E138" s="68" t="s">
        <v>19</v>
      </c>
      <c r="F138" s="82">
        <v>18</v>
      </c>
      <c r="G138" s="21" t="s">
        <v>97</v>
      </c>
      <c r="H138" s="21" t="s">
        <v>97</v>
      </c>
      <c r="I138" s="21" t="s">
        <v>97</v>
      </c>
      <c r="J138" s="21" t="s">
        <v>97</v>
      </c>
      <c r="K138" s="21" t="s">
        <v>97</v>
      </c>
      <c r="L138" s="21" t="s">
        <v>97</v>
      </c>
      <c r="M138" s="21" t="s">
        <v>97</v>
      </c>
      <c r="N138" s="21" t="s">
        <v>97</v>
      </c>
      <c r="O138" s="21" t="s">
        <v>97</v>
      </c>
      <c r="P138" s="21" t="s">
        <v>97</v>
      </c>
      <c r="Q138" s="21" t="s">
        <v>97</v>
      </c>
      <c r="R138" s="21" t="s">
        <v>97</v>
      </c>
      <c r="S138" s="3"/>
      <c r="T138" s="3"/>
      <c r="U138" s="3"/>
    </row>
    <row r="139" spans="1:21">
      <c r="A139" s="261" t="s">
        <v>69</v>
      </c>
      <c r="B139" s="261"/>
      <c r="C139" s="40"/>
      <c r="D139" s="12">
        <f>SUM(D136:D138)</f>
        <v>47</v>
      </c>
      <c r="E139" s="40"/>
      <c r="F139" s="27">
        <f>SUM(F136:F138)</f>
        <v>372.75</v>
      </c>
      <c r="G139" s="244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6"/>
      <c r="S139" s="3"/>
      <c r="T139" s="3"/>
      <c r="U139" s="3"/>
    </row>
    <row r="140" spans="1:21" ht="15.75">
      <c r="A140" s="243" t="s">
        <v>85</v>
      </c>
      <c r="B140" s="243"/>
      <c r="C140" s="47"/>
      <c r="D140" s="51">
        <f>D10+D64+D68+D82+D90+D95+D98+D101+D103+D110+D116+D120+D123+D126+D130+D134+D139</f>
        <v>1916832</v>
      </c>
      <c r="E140" s="47"/>
      <c r="F140" s="62">
        <f>F10+F64+F68+F82+F90+F95+F98+F101+F103+F110+F116+F120+F123+F126+F130+F134+F139</f>
        <v>3741.4229200000009</v>
      </c>
      <c r="G140" s="244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6"/>
      <c r="S140" s="3"/>
      <c r="T140" s="3"/>
      <c r="U140" s="3"/>
    </row>
    <row r="141" spans="1:21" ht="15.75" thickBot="1">
      <c r="A141" s="247"/>
      <c r="B141" s="247"/>
      <c r="C141" s="247"/>
      <c r="D141" s="247"/>
      <c r="E141" s="248"/>
      <c r="F141" s="248"/>
      <c r="G141" s="248"/>
      <c r="H141" s="248"/>
      <c r="I141" s="248"/>
      <c r="J141" s="248"/>
      <c r="K141" s="249"/>
      <c r="L141" s="249"/>
      <c r="M141" s="249"/>
      <c r="N141" s="249"/>
      <c r="O141" s="249"/>
      <c r="P141" s="249"/>
      <c r="Q141" s="249"/>
    </row>
    <row r="142" spans="1:21" ht="18.75">
      <c r="A142" s="250" t="s">
        <v>2</v>
      </c>
      <c r="B142" s="251"/>
      <c r="C142" s="252"/>
      <c r="D142" s="253"/>
      <c r="E142" s="248"/>
      <c r="F142" s="248"/>
      <c r="G142" s="248"/>
      <c r="H142" s="248"/>
      <c r="I142" s="248"/>
      <c r="J142" s="248"/>
      <c r="K142" s="254" t="s">
        <v>24</v>
      </c>
      <c r="L142" s="255"/>
      <c r="M142" s="255"/>
      <c r="N142" s="255"/>
      <c r="O142" s="255"/>
      <c r="P142" s="255"/>
      <c r="Q142" s="256"/>
    </row>
    <row r="143" spans="1:21" ht="18.75">
      <c r="A143" s="257" t="s">
        <v>25</v>
      </c>
      <c r="B143" s="258"/>
      <c r="C143" s="259"/>
      <c r="D143" s="260"/>
      <c r="E143" s="248"/>
      <c r="F143" s="248"/>
      <c r="G143" s="248"/>
      <c r="H143" s="248"/>
      <c r="I143" s="248"/>
      <c r="J143" s="248"/>
      <c r="K143" s="233" t="s">
        <v>29</v>
      </c>
      <c r="L143" s="234"/>
      <c r="M143" s="234"/>
      <c r="N143" s="234"/>
      <c r="O143" s="234"/>
      <c r="P143" s="234"/>
      <c r="Q143" s="235"/>
    </row>
    <row r="144" spans="1:21" ht="18.75">
      <c r="A144" s="257" t="s">
        <v>26</v>
      </c>
      <c r="B144" s="258"/>
      <c r="C144" s="259"/>
      <c r="D144" s="260"/>
      <c r="E144" s="248"/>
      <c r="F144" s="248"/>
      <c r="G144" s="248"/>
      <c r="H144" s="248"/>
      <c r="I144" s="248"/>
      <c r="J144" s="248"/>
      <c r="K144" s="233" t="s">
        <v>30</v>
      </c>
      <c r="L144" s="234"/>
      <c r="M144" s="234"/>
      <c r="N144" s="234"/>
      <c r="O144" s="234"/>
      <c r="P144" s="234"/>
      <c r="Q144" s="235"/>
    </row>
    <row r="145" spans="1:17" ht="18.75">
      <c r="A145" s="257" t="s">
        <v>21</v>
      </c>
      <c r="B145" s="258"/>
      <c r="C145" s="259"/>
      <c r="D145" s="260"/>
      <c r="E145" s="248"/>
      <c r="F145" s="248"/>
      <c r="G145" s="248"/>
      <c r="H145" s="248"/>
      <c r="I145" s="248"/>
      <c r="J145" s="248"/>
      <c r="K145" s="233" t="s">
        <v>31</v>
      </c>
      <c r="L145" s="234"/>
      <c r="M145" s="234"/>
      <c r="N145" s="234"/>
      <c r="O145" s="234"/>
      <c r="P145" s="234"/>
      <c r="Q145" s="235"/>
    </row>
    <row r="146" spans="1:17" ht="18.75">
      <c r="A146" s="257" t="s">
        <v>19</v>
      </c>
      <c r="B146" s="258"/>
      <c r="C146" s="259"/>
      <c r="D146" s="260"/>
      <c r="E146" s="248"/>
      <c r="F146" s="248"/>
      <c r="G146" s="248"/>
      <c r="H146" s="248"/>
      <c r="I146" s="248"/>
      <c r="J146" s="248"/>
      <c r="K146" s="233" t="s">
        <v>32</v>
      </c>
      <c r="L146" s="234"/>
      <c r="M146" s="234"/>
      <c r="N146" s="234"/>
      <c r="O146" s="234"/>
      <c r="P146" s="234"/>
      <c r="Q146" s="235"/>
    </row>
    <row r="147" spans="1:17" ht="18.75">
      <c r="A147" s="257" t="s">
        <v>27</v>
      </c>
      <c r="B147" s="258"/>
      <c r="C147" s="259"/>
      <c r="D147" s="260"/>
      <c r="E147" s="248"/>
      <c r="F147" s="248"/>
      <c r="G147" s="248"/>
      <c r="H147" s="248"/>
      <c r="I147" s="248"/>
      <c r="J147" s="248"/>
      <c r="K147" s="233" t="s">
        <v>33</v>
      </c>
      <c r="L147" s="234"/>
      <c r="M147" s="234"/>
      <c r="N147" s="234"/>
      <c r="O147" s="234"/>
      <c r="P147" s="234"/>
      <c r="Q147" s="235"/>
    </row>
    <row r="148" spans="1:17" ht="19.5" thickBot="1">
      <c r="A148" s="236" t="s">
        <v>28</v>
      </c>
      <c r="B148" s="237"/>
      <c r="C148" s="238"/>
      <c r="D148" s="239"/>
      <c r="E148" s="248"/>
      <c r="F148" s="248"/>
      <c r="G148" s="248"/>
      <c r="H148" s="248"/>
      <c r="I148" s="248"/>
      <c r="J148" s="248"/>
      <c r="K148" s="240" t="s">
        <v>34</v>
      </c>
      <c r="L148" s="241"/>
      <c r="M148" s="241"/>
      <c r="N148" s="241"/>
      <c r="O148" s="241"/>
      <c r="P148" s="241"/>
      <c r="Q148" s="242"/>
    </row>
    <row r="149" spans="1:17">
      <c r="A149" s="13"/>
    </row>
    <row r="150" spans="1:17">
      <c r="A150" s="13"/>
    </row>
    <row r="151" spans="1:17">
      <c r="A151" s="13"/>
    </row>
  </sheetData>
  <mergeCells count="116">
    <mergeCell ref="A51:A54"/>
    <mergeCell ref="A10:B10"/>
    <mergeCell ref="A12:A15"/>
    <mergeCell ref="A16:A19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37:B37"/>
    <mergeCell ref="A38:A41"/>
    <mergeCell ref="A42:A45"/>
    <mergeCell ref="A46:A49"/>
    <mergeCell ref="A50:B50"/>
    <mergeCell ref="A20:A23"/>
    <mergeCell ref="A24:B24"/>
    <mergeCell ref="A25:A28"/>
    <mergeCell ref="A29:A32"/>
    <mergeCell ref="A33:A36"/>
    <mergeCell ref="E69:E73"/>
    <mergeCell ref="G69:K73"/>
    <mergeCell ref="P69:R69"/>
    <mergeCell ref="P70:R70"/>
    <mergeCell ref="P71:R71"/>
    <mergeCell ref="P72:R72"/>
    <mergeCell ref="P73:R73"/>
    <mergeCell ref="A55:A58"/>
    <mergeCell ref="A59:A62"/>
    <mergeCell ref="A64:B64"/>
    <mergeCell ref="A68:B68"/>
    <mergeCell ref="A69:A73"/>
    <mergeCell ref="B69:B73"/>
    <mergeCell ref="A63:B63"/>
    <mergeCell ref="A74:C74"/>
    <mergeCell ref="G74:R74"/>
    <mergeCell ref="A75:A77"/>
    <mergeCell ref="B75:B77"/>
    <mergeCell ref="E75:E77"/>
    <mergeCell ref="G75:K77"/>
    <mergeCell ref="P75:R75"/>
    <mergeCell ref="P76:R76"/>
    <mergeCell ref="P77:R77"/>
    <mergeCell ref="A90:B90"/>
    <mergeCell ref="G90:R90"/>
    <mergeCell ref="A91:A94"/>
    <mergeCell ref="B91:B94"/>
    <mergeCell ref="E91:E94"/>
    <mergeCell ref="A78:C78"/>
    <mergeCell ref="G78:R78"/>
    <mergeCell ref="A81:B81"/>
    <mergeCell ref="A82:C82"/>
    <mergeCell ref="E84:E89"/>
    <mergeCell ref="G84:L84"/>
    <mergeCell ref="P85:R85"/>
    <mergeCell ref="P86:R86"/>
    <mergeCell ref="P87:R87"/>
    <mergeCell ref="P88:R88"/>
    <mergeCell ref="P89:R89"/>
    <mergeCell ref="P79:R79"/>
    <mergeCell ref="P80:R80"/>
    <mergeCell ref="A98:B98"/>
    <mergeCell ref="G98:R98"/>
    <mergeCell ref="A99:A100"/>
    <mergeCell ref="B99:B100"/>
    <mergeCell ref="E99:E100"/>
    <mergeCell ref="A95:B95"/>
    <mergeCell ref="G95:R95"/>
    <mergeCell ref="A96:A97"/>
    <mergeCell ref="B96:B97"/>
    <mergeCell ref="E96:E97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01:B101"/>
    <mergeCell ref="A103:B103"/>
    <mergeCell ref="C104:F104"/>
    <mergeCell ref="A110:B110"/>
    <mergeCell ref="G110:R11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.25" right="0.25" top="0.25" bottom="0.25" header="0" footer="0"/>
  <pageSetup paperSize="9" scale="62" orientation="landscape" r:id="rId1"/>
  <rowBreaks count="2" manualBreakCount="2">
    <brk id="38" max="16383" man="1"/>
    <brk id="77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U151"/>
  <sheetViews>
    <sheetView view="pageBreakPreview" zoomScale="85" zoomScaleSheetLayoutView="85" workbookViewId="0">
      <pane xSplit="2" ySplit="5" topLeftCell="E12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5"/>
  <cols>
    <col min="1" max="1" width="9.140625" style="150"/>
    <col min="2" max="2" width="28.140625" style="100" customWidth="1"/>
    <col min="3" max="3" width="19.140625" style="100" bestFit="1" customWidth="1"/>
    <col min="4" max="4" width="12.7109375" style="150" customWidth="1"/>
    <col min="5" max="5" width="17.85546875" style="150" customWidth="1"/>
    <col min="6" max="6" width="16.42578125" style="151" customWidth="1"/>
    <col min="7" max="8" width="9.140625" style="132"/>
    <col min="9" max="9" width="11.5703125" style="132" bestFit="1" customWidth="1"/>
    <col min="10" max="18" width="9.140625" style="132"/>
    <col min="19" max="16384" width="9.140625" style="100"/>
  </cols>
  <sheetData>
    <row r="1" spans="1:21" ht="26.25" customHeight="1">
      <c r="A1" s="194" t="s">
        <v>186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21" ht="18.75" customHeight="1">
      <c r="A2" s="197" t="s">
        <v>183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9"/>
    </row>
    <row r="3" spans="1:21">
      <c r="A3" s="101"/>
      <c r="B3" s="102"/>
      <c r="C3" s="102"/>
      <c r="D3" s="103"/>
      <c r="E3" s="103"/>
      <c r="F3" s="104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5"/>
    </row>
    <row r="4" spans="1:21" ht="15" customHeight="1">
      <c r="A4" s="188" t="s">
        <v>0</v>
      </c>
      <c r="B4" s="188" t="s">
        <v>1</v>
      </c>
      <c r="C4" s="188" t="s">
        <v>36</v>
      </c>
      <c r="D4" s="188" t="s">
        <v>16</v>
      </c>
      <c r="E4" s="188" t="s">
        <v>2</v>
      </c>
      <c r="F4" s="200" t="s">
        <v>3</v>
      </c>
      <c r="G4" s="188" t="s">
        <v>194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1">
      <c r="A5" s="188"/>
      <c r="B5" s="188"/>
      <c r="C5" s="188"/>
      <c r="D5" s="188"/>
      <c r="E5" s="188"/>
      <c r="F5" s="200"/>
      <c r="G5" s="106" t="s">
        <v>4</v>
      </c>
      <c r="H5" s="106" t="s">
        <v>5</v>
      </c>
      <c r="I5" s="106" t="s">
        <v>6</v>
      </c>
      <c r="J5" s="106" t="s">
        <v>7</v>
      </c>
      <c r="K5" s="106" t="s">
        <v>8</v>
      </c>
      <c r="L5" s="106" t="s">
        <v>9</v>
      </c>
      <c r="M5" s="106" t="s">
        <v>10</v>
      </c>
      <c r="N5" s="106" t="s">
        <v>11</v>
      </c>
      <c r="O5" s="106" t="s">
        <v>12</v>
      </c>
      <c r="P5" s="106" t="s">
        <v>13</v>
      </c>
      <c r="Q5" s="106" t="s">
        <v>14</v>
      </c>
      <c r="R5" s="106" t="s">
        <v>15</v>
      </c>
    </row>
    <row r="6" spans="1:21">
      <c r="A6" s="107">
        <v>1</v>
      </c>
      <c r="B6" s="108" t="s">
        <v>41</v>
      </c>
      <c r="C6" s="109"/>
      <c r="D6" s="94"/>
      <c r="E6" s="106"/>
      <c r="F6" s="110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21">
      <c r="A7" s="106"/>
      <c r="B7" s="111" t="s">
        <v>75</v>
      </c>
      <c r="C7" s="111" t="s">
        <v>42</v>
      </c>
      <c r="D7" s="65"/>
      <c r="E7" s="95" t="s">
        <v>19</v>
      </c>
      <c r="F7" s="33">
        <v>0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21">
      <c r="A8" s="106"/>
      <c r="B8" s="111" t="s">
        <v>76</v>
      </c>
      <c r="C8" s="111" t="s">
        <v>42</v>
      </c>
      <c r="D8" s="65"/>
      <c r="E8" s="95" t="s">
        <v>19</v>
      </c>
      <c r="F8" s="33">
        <v>0</v>
      </c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21">
      <c r="A9" s="106"/>
      <c r="B9" s="111" t="s">
        <v>96</v>
      </c>
      <c r="C9" s="111" t="s">
        <v>42</v>
      </c>
      <c r="D9" s="65"/>
      <c r="E9" s="95" t="s">
        <v>19</v>
      </c>
      <c r="F9" s="33">
        <v>0</v>
      </c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21" ht="15" customHeight="1">
      <c r="A10" s="188" t="s">
        <v>69</v>
      </c>
      <c r="B10" s="188"/>
      <c r="C10" s="106"/>
      <c r="D10" s="94">
        <f>+D7</f>
        <v>0</v>
      </c>
      <c r="E10" s="106"/>
      <c r="F10" s="34">
        <f>SUM(F7:F9)</f>
        <v>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12"/>
      <c r="T10" s="112"/>
      <c r="U10" s="112"/>
    </row>
    <row r="11" spans="1:21">
      <c r="A11" s="106">
        <v>2</v>
      </c>
      <c r="B11" s="108" t="s">
        <v>131</v>
      </c>
      <c r="C11" s="106"/>
      <c r="D11" s="94"/>
      <c r="E11" s="106"/>
      <c r="F11" s="34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21" ht="25.5">
      <c r="A12" s="189">
        <v>2.0099999999999998</v>
      </c>
      <c r="B12" s="113" t="s">
        <v>135</v>
      </c>
      <c r="C12" s="106"/>
      <c r="D12" s="94"/>
      <c r="E12" s="106"/>
      <c r="F12" s="3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21">
      <c r="A13" s="190"/>
      <c r="B13" s="111" t="s">
        <v>75</v>
      </c>
      <c r="C13" s="111" t="s">
        <v>42</v>
      </c>
      <c r="D13" s="65">
        <v>0</v>
      </c>
      <c r="E13" s="95" t="s">
        <v>19</v>
      </c>
      <c r="F13" s="34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  <row r="14" spans="1:21">
      <c r="A14" s="190"/>
      <c r="B14" s="111" t="s">
        <v>76</v>
      </c>
      <c r="C14" s="111" t="s">
        <v>42</v>
      </c>
      <c r="D14" s="65">
        <v>0</v>
      </c>
      <c r="E14" s="95" t="s">
        <v>19</v>
      </c>
      <c r="F14" s="34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</row>
    <row r="15" spans="1:21" ht="15" customHeight="1">
      <c r="A15" s="191"/>
      <c r="B15" s="111" t="s">
        <v>96</v>
      </c>
      <c r="C15" s="111" t="s">
        <v>42</v>
      </c>
      <c r="D15" s="65">
        <v>0</v>
      </c>
      <c r="E15" s="95" t="s">
        <v>19</v>
      </c>
      <c r="F15" s="3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21" ht="25.5">
      <c r="A16" s="189">
        <v>2.02</v>
      </c>
      <c r="B16" s="113" t="s">
        <v>143</v>
      </c>
      <c r="C16" s="106"/>
      <c r="D16" s="94"/>
      <c r="E16" s="106"/>
      <c r="F16" s="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8">
      <c r="A17" s="190"/>
      <c r="B17" s="111" t="s">
        <v>75</v>
      </c>
      <c r="C17" s="111" t="s">
        <v>42</v>
      </c>
      <c r="D17" s="65"/>
      <c r="E17" s="95" t="s">
        <v>19</v>
      </c>
      <c r="F17" s="114"/>
      <c r="G17" s="106"/>
      <c r="H17" s="106"/>
      <c r="I17" s="106"/>
      <c r="J17" s="106"/>
      <c r="K17" s="106"/>
      <c r="L17" s="106"/>
      <c r="M17" s="115"/>
      <c r="N17" s="115"/>
      <c r="O17" s="115"/>
      <c r="P17" s="115"/>
      <c r="Q17" s="115"/>
      <c r="R17" s="115"/>
    </row>
    <row r="18" spans="1:18">
      <c r="A18" s="190"/>
      <c r="B18" s="111" t="s">
        <v>76</v>
      </c>
      <c r="C18" s="111" t="s">
        <v>42</v>
      </c>
      <c r="D18" s="65"/>
      <c r="E18" s="95" t="s">
        <v>19</v>
      </c>
      <c r="F18" s="33"/>
      <c r="G18" s="106"/>
      <c r="H18" s="106"/>
      <c r="I18" s="106"/>
      <c r="J18" s="106"/>
      <c r="K18" s="106"/>
      <c r="L18" s="106"/>
      <c r="M18" s="115"/>
      <c r="N18" s="115"/>
      <c r="O18" s="115"/>
      <c r="P18" s="115"/>
      <c r="Q18" s="115"/>
      <c r="R18" s="115"/>
    </row>
    <row r="19" spans="1:18" ht="15" customHeight="1">
      <c r="A19" s="191"/>
      <c r="B19" s="111" t="s">
        <v>96</v>
      </c>
      <c r="C19" s="111" t="s">
        <v>42</v>
      </c>
      <c r="D19" s="65"/>
      <c r="E19" s="95" t="s">
        <v>19</v>
      </c>
      <c r="F19" s="33"/>
      <c r="G19" s="106"/>
      <c r="H19" s="106"/>
      <c r="I19" s="106"/>
      <c r="J19" s="106"/>
      <c r="K19" s="106"/>
      <c r="L19" s="106"/>
      <c r="M19" s="115"/>
      <c r="N19" s="115"/>
      <c r="O19" s="115"/>
      <c r="P19" s="115"/>
      <c r="Q19" s="115"/>
      <c r="R19" s="115"/>
    </row>
    <row r="20" spans="1:18" ht="25.5">
      <c r="A20" s="189">
        <v>2.0299999999999998</v>
      </c>
      <c r="B20" s="113" t="s">
        <v>134</v>
      </c>
      <c r="C20" s="106"/>
      <c r="D20" s="94"/>
      <c r="E20" s="106"/>
      <c r="F20" s="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</row>
    <row r="21" spans="1:18">
      <c r="A21" s="190"/>
      <c r="B21" s="111" t="s">
        <v>75</v>
      </c>
      <c r="C21" s="111" t="s">
        <v>42</v>
      </c>
      <c r="D21" s="65">
        <v>0</v>
      </c>
      <c r="E21" s="95" t="s">
        <v>19</v>
      </c>
      <c r="F21" s="11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</row>
    <row r="22" spans="1:18">
      <c r="A22" s="190"/>
      <c r="B22" s="111" t="s">
        <v>76</v>
      </c>
      <c r="C22" s="111" t="s">
        <v>42</v>
      </c>
      <c r="D22" s="65">
        <v>0</v>
      </c>
      <c r="E22" s="95" t="s">
        <v>19</v>
      </c>
      <c r="F22" s="33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>
      <c r="A23" s="191"/>
      <c r="B23" s="111" t="s">
        <v>96</v>
      </c>
      <c r="C23" s="111" t="s">
        <v>42</v>
      </c>
      <c r="D23" s="65">
        <v>0</v>
      </c>
      <c r="E23" s="95" t="s">
        <v>19</v>
      </c>
      <c r="F23" s="3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</row>
    <row r="24" spans="1:18">
      <c r="A24" s="185" t="s">
        <v>158</v>
      </c>
      <c r="B24" s="187"/>
      <c r="C24" s="111"/>
      <c r="D24" s="94">
        <f>+D21+D17+D13</f>
        <v>0</v>
      </c>
      <c r="E24" s="95"/>
      <c r="F24" s="34">
        <f>SUM(F13:F23)</f>
        <v>0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5" spans="1:18" ht="25.5">
      <c r="A25" s="189">
        <v>2.04</v>
      </c>
      <c r="B25" s="113" t="s">
        <v>136</v>
      </c>
      <c r="C25" s="106"/>
      <c r="D25" s="94"/>
      <c r="E25" s="106"/>
      <c r="F25" s="34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</row>
    <row r="26" spans="1:18">
      <c r="A26" s="190"/>
      <c r="B26" s="111" t="s">
        <v>75</v>
      </c>
      <c r="C26" s="111" t="s">
        <v>42</v>
      </c>
      <c r="D26" s="65">
        <v>0</v>
      </c>
      <c r="E26" s="95" t="s">
        <v>19</v>
      </c>
      <c r="F26" s="34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</row>
    <row r="27" spans="1:18">
      <c r="A27" s="190"/>
      <c r="B27" s="111" t="s">
        <v>76</v>
      </c>
      <c r="C27" s="111" t="s">
        <v>42</v>
      </c>
      <c r="D27" s="65">
        <v>0</v>
      </c>
      <c r="E27" s="95" t="s">
        <v>19</v>
      </c>
      <c r="F27" s="34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</row>
    <row r="28" spans="1:18">
      <c r="A28" s="191"/>
      <c r="B28" s="111" t="s">
        <v>96</v>
      </c>
      <c r="C28" s="111" t="s">
        <v>42</v>
      </c>
      <c r="D28" s="65">
        <v>0</v>
      </c>
      <c r="E28" s="95" t="s">
        <v>19</v>
      </c>
      <c r="F28" s="34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</row>
    <row r="29" spans="1:18" ht="25.5">
      <c r="A29" s="189">
        <v>2.0499999999999998</v>
      </c>
      <c r="B29" s="113" t="s">
        <v>132</v>
      </c>
      <c r="C29" s="116"/>
      <c r="D29" s="95"/>
      <c r="E29" s="95"/>
      <c r="F29" s="34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</row>
    <row r="30" spans="1:18" ht="25.5" customHeight="1">
      <c r="A30" s="190"/>
      <c r="B30" s="111" t="s">
        <v>75</v>
      </c>
      <c r="C30" s="111" t="s">
        <v>42</v>
      </c>
      <c r="D30" s="65">
        <v>0</v>
      </c>
      <c r="E30" s="95" t="s">
        <v>19</v>
      </c>
      <c r="F30" s="34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9.25" customHeight="1">
      <c r="A31" s="190"/>
      <c r="B31" s="111" t="s">
        <v>76</v>
      </c>
      <c r="C31" s="111" t="s">
        <v>42</v>
      </c>
      <c r="D31" s="65">
        <v>0</v>
      </c>
      <c r="E31" s="95" t="s">
        <v>19</v>
      </c>
      <c r="F31" s="34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25.5" customHeight="1">
      <c r="A32" s="191"/>
      <c r="B32" s="111" t="s">
        <v>96</v>
      </c>
      <c r="C32" s="111" t="s">
        <v>42</v>
      </c>
      <c r="D32" s="65">
        <v>0</v>
      </c>
      <c r="E32" s="95" t="s">
        <v>19</v>
      </c>
      <c r="F32" s="34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</row>
    <row r="33" spans="1:21" ht="34.5" customHeight="1">
      <c r="A33" s="189">
        <v>2.06</v>
      </c>
      <c r="B33" s="113" t="s">
        <v>133</v>
      </c>
      <c r="C33" s="106"/>
      <c r="D33" s="94"/>
      <c r="E33" s="106"/>
      <c r="F33" s="34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</row>
    <row r="34" spans="1:21" ht="30" customHeight="1">
      <c r="A34" s="190"/>
      <c r="B34" s="111" t="s">
        <v>75</v>
      </c>
      <c r="C34" s="111" t="s">
        <v>42</v>
      </c>
      <c r="D34" s="65"/>
      <c r="E34" s="95" t="s">
        <v>19</v>
      </c>
      <c r="F34" s="114"/>
      <c r="G34" s="106"/>
      <c r="H34" s="106"/>
      <c r="I34" s="106"/>
      <c r="J34" s="106"/>
      <c r="K34" s="106"/>
      <c r="L34" s="106"/>
      <c r="M34" s="115"/>
      <c r="N34" s="115"/>
      <c r="O34" s="106"/>
      <c r="P34" s="106"/>
      <c r="Q34" s="106"/>
      <c r="R34" s="106"/>
    </row>
    <row r="35" spans="1:21" ht="25.5" customHeight="1">
      <c r="A35" s="190"/>
      <c r="B35" s="111" t="s">
        <v>76</v>
      </c>
      <c r="C35" s="111" t="s">
        <v>42</v>
      </c>
      <c r="D35" s="65"/>
      <c r="E35" s="95" t="s">
        <v>19</v>
      </c>
      <c r="F35" s="33"/>
      <c r="G35" s="106"/>
      <c r="H35" s="106"/>
      <c r="I35" s="106"/>
      <c r="J35" s="106"/>
      <c r="K35" s="106"/>
      <c r="L35" s="106"/>
      <c r="M35" s="115"/>
      <c r="N35" s="115"/>
      <c r="O35" s="115"/>
      <c r="P35" s="115"/>
      <c r="Q35" s="115"/>
      <c r="R35" s="115"/>
    </row>
    <row r="36" spans="1:21" ht="34.5" customHeight="1">
      <c r="A36" s="191"/>
      <c r="B36" s="111" t="s">
        <v>96</v>
      </c>
      <c r="C36" s="111" t="s">
        <v>42</v>
      </c>
      <c r="D36" s="65"/>
      <c r="E36" s="95" t="s">
        <v>19</v>
      </c>
      <c r="F36" s="33"/>
      <c r="G36" s="106"/>
      <c r="H36" s="106"/>
      <c r="I36" s="106"/>
      <c r="J36" s="106"/>
      <c r="K36" s="106"/>
      <c r="L36" s="106"/>
      <c r="M36" s="115"/>
      <c r="N36" s="115"/>
      <c r="O36" s="115"/>
      <c r="P36" s="115"/>
      <c r="Q36" s="115"/>
      <c r="R36" s="115"/>
    </row>
    <row r="37" spans="1:21" ht="30" customHeight="1">
      <c r="A37" s="185" t="s">
        <v>159</v>
      </c>
      <c r="B37" s="187"/>
      <c r="C37" s="111"/>
      <c r="D37" s="94">
        <f>+D34+D30+D26</f>
        <v>0</v>
      </c>
      <c r="E37" s="95"/>
      <c r="F37" s="34">
        <f>SUM(F26:F36)</f>
        <v>0</v>
      </c>
      <c r="G37" s="106"/>
      <c r="H37" s="106"/>
      <c r="I37" s="106"/>
      <c r="J37" s="106"/>
      <c r="K37" s="106"/>
      <c r="L37" s="106"/>
      <c r="M37" s="115"/>
      <c r="N37" s="115"/>
      <c r="O37" s="115"/>
      <c r="P37" s="115"/>
      <c r="Q37" s="115"/>
      <c r="R37" s="115"/>
    </row>
    <row r="38" spans="1:21" ht="25.5" customHeight="1">
      <c r="A38" s="189">
        <v>2.0699999999999998</v>
      </c>
      <c r="B38" s="113" t="s">
        <v>137</v>
      </c>
      <c r="C38" s="106"/>
      <c r="D38" s="94"/>
      <c r="E38" s="106"/>
      <c r="F38" s="34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12"/>
      <c r="T38" s="112"/>
      <c r="U38" s="112"/>
    </row>
    <row r="39" spans="1:21">
      <c r="A39" s="190"/>
      <c r="B39" s="111" t="s">
        <v>75</v>
      </c>
      <c r="C39" s="111" t="s">
        <v>42</v>
      </c>
      <c r="D39" s="65">
        <v>0</v>
      </c>
      <c r="E39" s="95" t="s">
        <v>19</v>
      </c>
      <c r="F39" s="34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112"/>
      <c r="T39" s="112"/>
      <c r="U39" s="112"/>
    </row>
    <row r="40" spans="1:21" ht="25.5" customHeight="1">
      <c r="A40" s="190"/>
      <c r="B40" s="111" t="s">
        <v>76</v>
      </c>
      <c r="C40" s="111" t="s">
        <v>42</v>
      </c>
      <c r="D40" s="65">
        <v>0</v>
      </c>
      <c r="E40" s="95" t="s">
        <v>19</v>
      </c>
      <c r="F40" s="34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12"/>
      <c r="T40" s="112"/>
      <c r="U40" s="112"/>
    </row>
    <row r="41" spans="1:21" ht="25.5" customHeight="1">
      <c r="A41" s="191"/>
      <c r="B41" s="111" t="s">
        <v>96</v>
      </c>
      <c r="C41" s="111" t="s">
        <v>42</v>
      </c>
      <c r="D41" s="65">
        <v>0</v>
      </c>
      <c r="E41" s="95" t="s">
        <v>19</v>
      </c>
      <c r="F41" s="34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12"/>
      <c r="T41" s="112"/>
      <c r="U41" s="112"/>
    </row>
    <row r="42" spans="1:21" ht="25.5">
      <c r="A42" s="189">
        <v>2.08</v>
      </c>
      <c r="B42" s="113" t="s">
        <v>138</v>
      </c>
      <c r="C42" s="106"/>
      <c r="D42" s="94"/>
      <c r="E42" s="106"/>
      <c r="F42" s="34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112"/>
      <c r="T42" s="112"/>
      <c r="U42" s="112"/>
    </row>
    <row r="43" spans="1:21">
      <c r="A43" s="190"/>
      <c r="B43" s="111" t="s">
        <v>75</v>
      </c>
      <c r="C43" s="111" t="s">
        <v>42</v>
      </c>
      <c r="D43" s="65"/>
      <c r="E43" s="95" t="s">
        <v>19</v>
      </c>
      <c r="F43" s="117"/>
      <c r="G43" s="99"/>
      <c r="H43" s="99"/>
      <c r="I43" s="99"/>
      <c r="J43" s="99"/>
      <c r="K43" s="99"/>
      <c r="L43" s="99"/>
      <c r="M43" s="115"/>
      <c r="N43" s="115"/>
      <c r="O43" s="115"/>
      <c r="P43" s="115"/>
      <c r="Q43" s="115"/>
      <c r="R43" s="115"/>
      <c r="S43" s="112"/>
      <c r="T43" s="112"/>
      <c r="U43" s="112"/>
    </row>
    <row r="44" spans="1:21">
      <c r="A44" s="190"/>
      <c r="B44" s="111" t="s">
        <v>76</v>
      </c>
      <c r="C44" s="111" t="s">
        <v>42</v>
      </c>
      <c r="D44" s="65"/>
      <c r="E44" s="95" t="s">
        <v>19</v>
      </c>
      <c r="F44" s="117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12"/>
      <c r="T44" s="112"/>
      <c r="U44" s="112"/>
    </row>
    <row r="45" spans="1:21">
      <c r="A45" s="191"/>
      <c r="B45" s="111" t="s">
        <v>96</v>
      </c>
      <c r="C45" s="111" t="s">
        <v>42</v>
      </c>
      <c r="D45" s="65"/>
      <c r="E45" s="95" t="s">
        <v>19</v>
      </c>
      <c r="F45" s="117"/>
      <c r="G45" s="99"/>
      <c r="H45" s="99"/>
      <c r="I45" s="99"/>
      <c r="J45" s="99"/>
      <c r="K45" s="99"/>
      <c r="L45" s="99"/>
      <c r="M45" s="115"/>
      <c r="N45" s="115"/>
      <c r="O45" s="115"/>
      <c r="P45" s="115"/>
      <c r="Q45" s="115"/>
      <c r="R45" s="115"/>
      <c r="S45" s="112"/>
      <c r="T45" s="112"/>
      <c r="U45" s="112"/>
    </row>
    <row r="46" spans="1:21" ht="25.5">
      <c r="A46" s="189">
        <v>2.09</v>
      </c>
      <c r="B46" s="113" t="s">
        <v>139</v>
      </c>
      <c r="C46" s="106"/>
      <c r="D46" s="94"/>
      <c r="E46" s="106"/>
      <c r="F46" s="3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12"/>
      <c r="T46" s="112"/>
      <c r="U46" s="112"/>
    </row>
    <row r="47" spans="1:21" ht="25.5" customHeight="1">
      <c r="A47" s="190"/>
      <c r="B47" s="111" t="s">
        <v>75</v>
      </c>
      <c r="C47" s="111" t="s">
        <v>42</v>
      </c>
      <c r="D47" s="65">
        <v>0</v>
      </c>
      <c r="E47" s="95" t="s">
        <v>19</v>
      </c>
      <c r="F47" s="34">
        <v>0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12"/>
      <c r="T47" s="112"/>
      <c r="U47" s="112"/>
    </row>
    <row r="48" spans="1:21">
      <c r="A48" s="190"/>
      <c r="B48" s="111" t="s">
        <v>76</v>
      </c>
      <c r="C48" s="111" t="s">
        <v>42</v>
      </c>
      <c r="D48" s="65">
        <v>0</v>
      </c>
      <c r="E48" s="95" t="s">
        <v>19</v>
      </c>
      <c r="F48" s="34"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112"/>
      <c r="T48" s="112"/>
      <c r="U48" s="112"/>
    </row>
    <row r="49" spans="1:21">
      <c r="A49" s="191"/>
      <c r="B49" s="111" t="s">
        <v>96</v>
      </c>
      <c r="C49" s="111" t="s">
        <v>42</v>
      </c>
      <c r="D49" s="65">
        <v>0</v>
      </c>
      <c r="E49" s="95" t="s">
        <v>19</v>
      </c>
      <c r="F49" s="34">
        <v>0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112"/>
      <c r="T49" s="112"/>
      <c r="U49" s="112"/>
    </row>
    <row r="50" spans="1:21">
      <c r="A50" s="185" t="s">
        <v>160</v>
      </c>
      <c r="B50" s="187"/>
      <c r="C50" s="111"/>
      <c r="D50" s="94">
        <f>+D47+D43+D39</f>
        <v>0</v>
      </c>
      <c r="E50" s="95"/>
      <c r="F50" s="34">
        <f>SUM(F39:F49)</f>
        <v>0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12"/>
      <c r="T50" s="112"/>
      <c r="U50" s="112"/>
    </row>
    <row r="51" spans="1:21" ht="25.5">
      <c r="A51" s="201">
        <v>2.1</v>
      </c>
      <c r="B51" s="113" t="s">
        <v>140</v>
      </c>
      <c r="C51" s="106"/>
      <c r="D51" s="94"/>
      <c r="E51" s="106"/>
      <c r="F51" s="34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112"/>
      <c r="T51" s="112"/>
      <c r="U51" s="112"/>
    </row>
    <row r="52" spans="1:21">
      <c r="A52" s="202"/>
      <c r="B52" s="111" t="s">
        <v>75</v>
      </c>
      <c r="C52" s="111" t="s">
        <v>42</v>
      </c>
      <c r="D52" s="65">
        <v>0</v>
      </c>
      <c r="E52" s="95" t="s">
        <v>19</v>
      </c>
      <c r="F52" s="54">
        <v>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112"/>
      <c r="T52" s="112"/>
      <c r="U52" s="112"/>
    </row>
    <row r="53" spans="1:21" ht="25.5" customHeight="1">
      <c r="A53" s="202"/>
      <c r="B53" s="111" t="s">
        <v>76</v>
      </c>
      <c r="C53" s="111" t="s">
        <v>42</v>
      </c>
      <c r="D53" s="65">
        <v>0</v>
      </c>
      <c r="E53" s="95" t="s">
        <v>19</v>
      </c>
      <c r="F53" s="54">
        <v>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112"/>
      <c r="T53" s="112"/>
      <c r="U53" s="112"/>
    </row>
    <row r="54" spans="1:21">
      <c r="A54" s="203"/>
      <c r="B54" s="111" t="s">
        <v>96</v>
      </c>
      <c r="C54" s="111" t="s">
        <v>42</v>
      </c>
      <c r="D54" s="65">
        <v>0</v>
      </c>
      <c r="E54" s="95" t="s">
        <v>19</v>
      </c>
      <c r="F54" s="54">
        <v>0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12"/>
      <c r="T54" s="112"/>
      <c r="U54" s="112"/>
    </row>
    <row r="55" spans="1:21" ht="25.5">
      <c r="A55" s="189">
        <v>2.11</v>
      </c>
      <c r="B55" s="113" t="s">
        <v>142</v>
      </c>
      <c r="C55" s="116"/>
      <c r="D55" s="95"/>
      <c r="E55" s="95"/>
      <c r="F55" s="34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112"/>
      <c r="T55" s="112"/>
      <c r="U55" s="112"/>
    </row>
    <row r="56" spans="1:21">
      <c r="A56" s="190"/>
      <c r="B56" s="111" t="s">
        <v>75</v>
      </c>
      <c r="C56" s="111" t="s">
        <v>42</v>
      </c>
      <c r="D56" s="65">
        <v>0</v>
      </c>
      <c r="E56" s="95" t="s">
        <v>19</v>
      </c>
      <c r="F56" s="34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112"/>
      <c r="T56" s="112"/>
      <c r="U56" s="112"/>
    </row>
    <row r="57" spans="1:21" ht="15" customHeight="1">
      <c r="A57" s="190"/>
      <c r="B57" s="111" t="s">
        <v>76</v>
      </c>
      <c r="C57" s="111" t="s">
        <v>42</v>
      </c>
      <c r="D57" s="65">
        <v>0</v>
      </c>
      <c r="E57" s="95" t="s">
        <v>19</v>
      </c>
      <c r="F57" s="34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12"/>
      <c r="T57" s="112"/>
      <c r="U57" s="112"/>
    </row>
    <row r="58" spans="1:21">
      <c r="A58" s="191"/>
      <c r="B58" s="111" t="s">
        <v>96</v>
      </c>
      <c r="C58" s="111" t="s">
        <v>42</v>
      </c>
      <c r="D58" s="65">
        <v>0</v>
      </c>
      <c r="E58" s="95" t="s">
        <v>19</v>
      </c>
      <c r="F58" s="34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112"/>
      <c r="T58" s="112"/>
      <c r="U58" s="112"/>
    </row>
    <row r="59" spans="1:21" ht="25.5">
      <c r="A59" s="189">
        <v>2.12</v>
      </c>
      <c r="B59" s="113" t="s">
        <v>141</v>
      </c>
      <c r="C59" s="106"/>
      <c r="D59" s="94"/>
      <c r="E59" s="106"/>
      <c r="F59" s="34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12"/>
      <c r="T59" s="112"/>
      <c r="U59" s="112"/>
    </row>
    <row r="60" spans="1:21" ht="15" customHeight="1">
      <c r="A60" s="190"/>
      <c r="B60" s="111" t="s">
        <v>75</v>
      </c>
      <c r="C60" s="111" t="s">
        <v>42</v>
      </c>
      <c r="D60" s="65">
        <v>0</v>
      </c>
      <c r="E60" s="95" t="s">
        <v>19</v>
      </c>
      <c r="F60" s="34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112"/>
      <c r="T60" s="112"/>
      <c r="U60" s="112"/>
    </row>
    <row r="61" spans="1:21">
      <c r="A61" s="190"/>
      <c r="B61" s="111" t="s">
        <v>76</v>
      </c>
      <c r="C61" s="111" t="s">
        <v>42</v>
      </c>
      <c r="D61" s="65">
        <v>0</v>
      </c>
      <c r="E61" s="95" t="s">
        <v>19</v>
      </c>
      <c r="F61" s="34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12"/>
      <c r="T61" s="112"/>
      <c r="U61" s="112"/>
    </row>
    <row r="62" spans="1:21">
      <c r="A62" s="191"/>
      <c r="B62" s="111" t="s">
        <v>96</v>
      </c>
      <c r="C62" s="111" t="s">
        <v>42</v>
      </c>
      <c r="D62" s="65">
        <v>0</v>
      </c>
      <c r="E62" s="95" t="s">
        <v>19</v>
      </c>
      <c r="F62" s="34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112"/>
      <c r="T62" s="112"/>
      <c r="U62" s="112"/>
    </row>
    <row r="63" spans="1:21" ht="15" customHeight="1">
      <c r="A63" s="185" t="s">
        <v>161</v>
      </c>
      <c r="B63" s="187"/>
      <c r="C63" s="111"/>
      <c r="D63" s="94">
        <f>+D60+D56+D52</f>
        <v>0</v>
      </c>
      <c r="E63" s="95"/>
      <c r="F63" s="34">
        <f>SUM(F52:F62)</f>
        <v>0</v>
      </c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112"/>
      <c r="T63" s="112"/>
      <c r="U63" s="112"/>
    </row>
    <row r="64" spans="1:21">
      <c r="A64" s="185" t="s">
        <v>144</v>
      </c>
      <c r="B64" s="187"/>
      <c r="C64" s="106"/>
      <c r="D64" s="94">
        <f>+D63+D50+D37+D24</f>
        <v>0</v>
      </c>
      <c r="E64" s="106"/>
      <c r="F64" s="120">
        <f>+F63+F50+F37+F24</f>
        <v>0</v>
      </c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12"/>
      <c r="T64" s="112"/>
      <c r="U64" s="112"/>
    </row>
    <row r="65" spans="1:21">
      <c r="A65" s="106">
        <v>3</v>
      </c>
      <c r="B65" s="108" t="s">
        <v>43</v>
      </c>
      <c r="C65" s="106"/>
      <c r="D65" s="94"/>
      <c r="E65" s="106"/>
      <c r="F65" s="34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21">
      <c r="A66" s="106"/>
      <c r="B66" s="111" t="s">
        <v>45</v>
      </c>
      <c r="C66" s="111" t="s">
        <v>116</v>
      </c>
      <c r="D66" s="64">
        <v>0</v>
      </c>
      <c r="E66" s="121" t="s">
        <v>19</v>
      </c>
      <c r="F66" s="33">
        <f>D66*0.0003</f>
        <v>0</v>
      </c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1:21" ht="15" customHeight="1">
      <c r="A67" s="106"/>
      <c r="B67" s="111" t="s">
        <v>77</v>
      </c>
      <c r="C67" s="111" t="s">
        <v>116</v>
      </c>
      <c r="D67" s="65">
        <v>0</v>
      </c>
      <c r="E67" s="95" t="s">
        <v>78</v>
      </c>
      <c r="F67" s="33">
        <f>D67*0.0003</f>
        <v>0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1:21">
      <c r="A68" s="188" t="s">
        <v>69</v>
      </c>
      <c r="B68" s="188"/>
      <c r="C68" s="106"/>
      <c r="D68" s="94">
        <f>D66</f>
        <v>0</v>
      </c>
      <c r="E68" s="106"/>
      <c r="F68" s="34">
        <f>SUM(F66:F67)</f>
        <v>0</v>
      </c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112"/>
      <c r="T68" s="112"/>
      <c r="U68" s="112"/>
    </row>
    <row r="69" spans="1:21" ht="15.75" customHeight="1">
      <c r="A69" s="171">
        <v>4</v>
      </c>
      <c r="B69" s="171" t="s">
        <v>154</v>
      </c>
      <c r="C69" s="95" t="s">
        <v>146</v>
      </c>
      <c r="D69" s="65"/>
      <c r="E69" s="204" t="s">
        <v>17</v>
      </c>
      <c r="F69" s="63"/>
      <c r="G69" s="140"/>
      <c r="H69" s="141"/>
      <c r="I69" s="141"/>
      <c r="J69" s="141"/>
      <c r="K69" s="142"/>
      <c r="L69" s="99"/>
      <c r="M69" s="99"/>
      <c r="N69" s="99"/>
      <c r="O69" s="99"/>
      <c r="P69" s="184"/>
      <c r="Q69" s="184"/>
      <c r="R69" s="184"/>
      <c r="S69" s="112"/>
      <c r="T69" s="112"/>
      <c r="U69" s="112"/>
    </row>
    <row r="70" spans="1:21">
      <c r="A70" s="172"/>
      <c r="B70" s="172"/>
      <c r="C70" s="95" t="s">
        <v>147</v>
      </c>
      <c r="D70" s="65"/>
      <c r="E70" s="205"/>
      <c r="F70" s="56"/>
      <c r="G70" s="163"/>
      <c r="H70" s="164"/>
      <c r="I70" s="164"/>
      <c r="J70" s="164"/>
      <c r="K70" s="165"/>
      <c r="L70" s="99"/>
      <c r="M70" s="99"/>
      <c r="N70" s="99"/>
      <c r="O70" s="99"/>
      <c r="P70" s="184"/>
      <c r="Q70" s="184"/>
      <c r="R70" s="184"/>
      <c r="S70" s="112"/>
      <c r="T70" s="112"/>
      <c r="U70" s="112"/>
    </row>
    <row r="71" spans="1:21" ht="15" customHeight="1">
      <c r="A71" s="172"/>
      <c r="B71" s="172"/>
      <c r="C71" s="95" t="s">
        <v>148</v>
      </c>
      <c r="D71" s="65"/>
      <c r="E71" s="205"/>
      <c r="F71" s="56"/>
      <c r="G71" s="163"/>
      <c r="H71" s="164"/>
      <c r="I71" s="164"/>
      <c r="J71" s="164"/>
      <c r="K71" s="165"/>
      <c r="L71" s="99"/>
      <c r="M71" s="99"/>
      <c r="N71" s="99"/>
      <c r="O71" s="99"/>
      <c r="P71" s="184"/>
      <c r="Q71" s="184"/>
      <c r="R71" s="184"/>
      <c r="S71" s="112"/>
      <c r="T71" s="112"/>
      <c r="U71" s="112"/>
    </row>
    <row r="72" spans="1:21">
      <c r="A72" s="172"/>
      <c r="B72" s="172"/>
      <c r="C72" s="95" t="s">
        <v>149</v>
      </c>
      <c r="D72" s="65"/>
      <c r="E72" s="205"/>
      <c r="F72" s="56"/>
      <c r="G72" s="163"/>
      <c r="H72" s="164"/>
      <c r="I72" s="164"/>
      <c r="J72" s="164"/>
      <c r="K72" s="165"/>
      <c r="L72" s="99"/>
      <c r="M72" s="99"/>
      <c r="N72" s="99"/>
      <c r="O72" s="99"/>
      <c r="P72" s="184"/>
      <c r="Q72" s="184"/>
      <c r="R72" s="184"/>
      <c r="S72" s="112"/>
      <c r="T72" s="112"/>
      <c r="U72" s="112"/>
    </row>
    <row r="73" spans="1:21">
      <c r="A73" s="172"/>
      <c r="B73" s="172"/>
      <c r="C73" s="95" t="s">
        <v>150</v>
      </c>
      <c r="D73" s="65"/>
      <c r="E73" s="206"/>
      <c r="F73" s="56"/>
      <c r="G73" s="143"/>
      <c r="H73" s="144"/>
      <c r="I73" s="144"/>
      <c r="J73" s="144"/>
      <c r="K73" s="145"/>
      <c r="L73" s="99"/>
      <c r="M73" s="99"/>
      <c r="N73" s="99"/>
      <c r="O73" s="99"/>
      <c r="P73" s="184"/>
      <c r="Q73" s="184"/>
      <c r="R73" s="184"/>
      <c r="S73" s="112"/>
      <c r="T73" s="112"/>
      <c r="U73" s="112"/>
    </row>
    <row r="74" spans="1:21">
      <c r="A74" s="185" t="s">
        <v>162</v>
      </c>
      <c r="B74" s="186"/>
      <c r="C74" s="187"/>
      <c r="D74" s="60">
        <f>D69+D70+D71+D72+D73</f>
        <v>0</v>
      </c>
      <c r="E74" s="95"/>
      <c r="F74" s="54">
        <f>F69+F70+F71+F72+F73</f>
        <v>0</v>
      </c>
      <c r="G74" s="168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70"/>
      <c r="S74" s="112"/>
      <c r="T74" s="112"/>
      <c r="U74" s="112"/>
    </row>
    <row r="75" spans="1:21">
      <c r="A75" s="174">
        <v>4.01</v>
      </c>
      <c r="B75" s="174" t="s">
        <v>155</v>
      </c>
      <c r="C75" s="95" t="s">
        <v>151</v>
      </c>
      <c r="D75" s="65"/>
      <c r="E75" s="204" t="s">
        <v>17</v>
      </c>
      <c r="F75" s="54"/>
      <c r="G75" s="140"/>
      <c r="H75" s="141"/>
      <c r="I75" s="141"/>
      <c r="J75" s="141"/>
      <c r="K75" s="142"/>
      <c r="L75" s="99"/>
      <c r="M75" s="99"/>
      <c r="N75" s="99"/>
      <c r="O75" s="99"/>
      <c r="P75" s="184"/>
      <c r="Q75" s="184"/>
      <c r="R75" s="184"/>
      <c r="S75" s="112"/>
      <c r="T75" s="112"/>
      <c r="U75" s="112"/>
    </row>
    <row r="76" spans="1:21" ht="15" customHeight="1">
      <c r="A76" s="174"/>
      <c r="B76" s="174"/>
      <c r="C76" s="95" t="s">
        <v>152</v>
      </c>
      <c r="D76" s="65"/>
      <c r="E76" s="205"/>
      <c r="F76" s="54"/>
      <c r="G76" s="163"/>
      <c r="H76" s="164"/>
      <c r="I76" s="164"/>
      <c r="J76" s="164"/>
      <c r="K76" s="165"/>
      <c r="L76" s="99"/>
      <c r="M76" s="99"/>
      <c r="N76" s="99"/>
      <c r="O76" s="99"/>
      <c r="P76" s="184"/>
      <c r="Q76" s="184"/>
      <c r="R76" s="184"/>
      <c r="S76" s="112"/>
      <c r="T76" s="112"/>
      <c r="U76" s="112"/>
    </row>
    <row r="77" spans="1:21" ht="15.75" customHeight="1">
      <c r="A77" s="174"/>
      <c r="B77" s="174"/>
      <c r="C77" s="95" t="s">
        <v>153</v>
      </c>
      <c r="D77" s="66"/>
      <c r="E77" s="206"/>
      <c r="F77" s="55"/>
      <c r="G77" s="143"/>
      <c r="H77" s="144"/>
      <c r="I77" s="144"/>
      <c r="J77" s="144"/>
      <c r="K77" s="145"/>
      <c r="L77" s="99"/>
      <c r="M77" s="99"/>
      <c r="N77" s="99"/>
      <c r="O77" s="99"/>
      <c r="P77" s="184"/>
      <c r="Q77" s="184"/>
      <c r="R77" s="184"/>
      <c r="S77" s="112"/>
      <c r="T77" s="112"/>
      <c r="U77" s="112"/>
    </row>
    <row r="78" spans="1:21">
      <c r="A78" s="185" t="s">
        <v>162</v>
      </c>
      <c r="B78" s="186"/>
      <c r="C78" s="187"/>
      <c r="D78" s="61">
        <f>D75+D76+D77</f>
        <v>0</v>
      </c>
      <c r="E78" s="95"/>
      <c r="F78" s="36">
        <f>F75+F76+F77</f>
        <v>0</v>
      </c>
      <c r="G78" s="168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70"/>
      <c r="S78" s="112"/>
      <c r="T78" s="112"/>
      <c r="U78" s="112"/>
    </row>
    <row r="79" spans="1:21" ht="32.25" customHeight="1">
      <c r="A79" s="122"/>
      <c r="B79" s="123" t="s">
        <v>156</v>
      </c>
      <c r="C79" s="116" t="s">
        <v>37</v>
      </c>
      <c r="D79" s="66">
        <v>0</v>
      </c>
      <c r="E79" s="95" t="s">
        <v>19</v>
      </c>
      <c r="F79" s="33">
        <v>0</v>
      </c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112"/>
      <c r="T79" s="112"/>
      <c r="U79" s="112"/>
    </row>
    <row r="80" spans="1:21" ht="33.75" customHeight="1">
      <c r="A80" s="95"/>
      <c r="B80" s="116" t="s">
        <v>157</v>
      </c>
      <c r="C80" s="116"/>
      <c r="D80" s="66"/>
      <c r="E80" s="95" t="s">
        <v>19</v>
      </c>
      <c r="F80" s="33">
        <v>2</v>
      </c>
      <c r="G80" s="99"/>
      <c r="H80" s="99"/>
      <c r="I80" s="99"/>
      <c r="J80" s="99"/>
      <c r="K80" s="129" t="s">
        <v>97</v>
      </c>
      <c r="L80" s="129" t="s">
        <v>97</v>
      </c>
      <c r="M80" s="129" t="s">
        <v>97</v>
      </c>
      <c r="N80" s="129" t="s">
        <v>97</v>
      </c>
      <c r="O80" s="129" t="s">
        <v>97</v>
      </c>
      <c r="P80" s="129" t="s">
        <v>97</v>
      </c>
      <c r="Q80" s="129" t="s">
        <v>97</v>
      </c>
      <c r="R80" s="129" t="s">
        <v>97</v>
      </c>
      <c r="S80" s="112"/>
      <c r="T80" s="112"/>
      <c r="U80" s="112"/>
    </row>
    <row r="81" spans="1:21" ht="23.25" customHeight="1">
      <c r="A81" s="188" t="s">
        <v>162</v>
      </c>
      <c r="B81" s="188"/>
      <c r="C81" s="106"/>
      <c r="D81" s="124">
        <f>D80+D79</f>
        <v>0</v>
      </c>
      <c r="E81" s="106"/>
      <c r="F81" s="120">
        <f>F80+F79</f>
        <v>2</v>
      </c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112"/>
      <c r="T81" s="112"/>
      <c r="U81" s="112"/>
    </row>
    <row r="82" spans="1:21" ht="23.25" customHeight="1">
      <c r="A82" s="185" t="s">
        <v>163</v>
      </c>
      <c r="B82" s="186"/>
      <c r="C82" s="187"/>
      <c r="D82" s="125">
        <f>D81+D78+D74</f>
        <v>0</v>
      </c>
      <c r="E82" s="106"/>
      <c r="F82" s="120">
        <f>F81+F78+F74</f>
        <v>2</v>
      </c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112"/>
      <c r="T82" s="112"/>
      <c r="U82" s="112"/>
    </row>
    <row r="83" spans="1:21" ht="23.25" customHeight="1">
      <c r="A83" s="95">
        <v>5</v>
      </c>
      <c r="B83" s="126" t="s">
        <v>80</v>
      </c>
      <c r="C83" s="116"/>
      <c r="D83" s="66"/>
      <c r="E83" s="95"/>
      <c r="F83" s="33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112"/>
      <c r="T83" s="112"/>
      <c r="U83" s="112"/>
    </row>
    <row r="84" spans="1:21" ht="31.5" customHeight="1">
      <c r="A84" s="95"/>
      <c r="B84" s="116" t="s">
        <v>81</v>
      </c>
      <c r="C84" s="116" t="s">
        <v>48</v>
      </c>
      <c r="D84" s="66"/>
      <c r="E84" s="171" t="s">
        <v>17</v>
      </c>
      <c r="F84" s="33">
        <v>0</v>
      </c>
      <c r="G84" s="184"/>
      <c r="H84" s="184"/>
      <c r="I84" s="184"/>
      <c r="J84" s="184"/>
      <c r="K84" s="184"/>
      <c r="L84" s="184"/>
      <c r="M84" s="99"/>
      <c r="N84" s="99"/>
      <c r="O84" s="99"/>
      <c r="P84" s="98"/>
      <c r="Q84" s="98"/>
      <c r="R84" s="98"/>
      <c r="S84" s="112"/>
      <c r="T84" s="112"/>
      <c r="U84" s="112"/>
    </row>
    <row r="85" spans="1:21" ht="27.75" customHeight="1">
      <c r="A85" s="95"/>
      <c r="B85" s="116" t="s">
        <v>84</v>
      </c>
      <c r="C85" s="116" t="s">
        <v>42</v>
      </c>
      <c r="D85" s="66"/>
      <c r="E85" s="172"/>
      <c r="F85" s="33"/>
      <c r="G85" s="168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70"/>
      <c r="S85" s="112"/>
      <c r="T85" s="112"/>
      <c r="U85" s="112"/>
    </row>
    <row r="86" spans="1:21">
      <c r="A86" s="95"/>
      <c r="B86" s="116" t="s">
        <v>82</v>
      </c>
      <c r="C86" s="116" t="s">
        <v>83</v>
      </c>
      <c r="D86" s="66"/>
      <c r="E86" s="172"/>
      <c r="F86" s="33"/>
      <c r="G86" s="168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70"/>
      <c r="S86" s="112"/>
      <c r="T86" s="112"/>
      <c r="U86" s="112"/>
    </row>
    <row r="87" spans="1:21">
      <c r="A87" s="95"/>
      <c r="B87" s="116" t="s">
        <v>124</v>
      </c>
      <c r="C87" s="116" t="s">
        <v>48</v>
      </c>
      <c r="D87" s="66"/>
      <c r="E87" s="172"/>
      <c r="F87" s="33"/>
      <c r="G87" s="168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70"/>
      <c r="S87" s="112"/>
      <c r="T87" s="112"/>
      <c r="U87" s="112"/>
    </row>
    <row r="88" spans="1:21">
      <c r="A88" s="95"/>
      <c r="B88" s="116" t="s">
        <v>125</v>
      </c>
      <c r="C88" s="116" t="s">
        <v>48</v>
      </c>
      <c r="D88" s="66"/>
      <c r="E88" s="172"/>
      <c r="F88" s="33"/>
      <c r="G88" s="168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70"/>
      <c r="S88" s="112"/>
      <c r="T88" s="112"/>
      <c r="U88" s="112"/>
    </row>
    <row r="89" spans="1:21">
      <c r="A89" s="95"/>
      <c r="B89" s="116" t="s">
        <v>126</v>
      </c>
      <c r="C89" s="116" t="s">
        <v>48</v>
      </c>
      <c r="D89" s="66"/>
      <c r="E89" s="173"/>
      <c r="F89" s="33"/>
      <c r="G89" s="168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70"/>
      <c r="S89" s="112"/>
      <c r="T89" s="112"/>
      <c r="U89" s="112"/>
    </row>
    <row r="90" spans="1:21">
      <c r="A90" s="188" t="s">
        <v>69</v>
      </c>
      <c r="B90" s="188"/>
      <c r="C90" s="106"/>
      <c r="D90" s="94">
        <f>SUM(D84:D89)</f>
        <v>0</v>
      </c>
      <c r="E90" s="106"/>
      <c r="F90" s="34">
        <f>SUM(F84:F89)</f>
        <v>0</v>
      </c>
      <c r="G90" s="168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70"/>
      <c r="S90" s="112"/>
      <c r="T90" s="112"/>
      <c r="U90" s="112"/>
    </row>
    <row r="91" spans="1:21">
      <c r="A91" s="171">
        <v>6</v>
      </c>
      <c r="B91" s="171" t="s">
        <v>23</v>
      </c>
      <c r="C91" s="113" t="s">
        <v>127</v>
      </c>
      <c r="D91" s="65"/>
      <c r="E91" s="193" t="s">
        <v>35</v>
      </c>
      <c r="F91" s="117"/>
      <c r="G91" s="99"/>
      <c r="H91" s="99"/>
      <c r="I91" s="99"/>
      <c r="J91" s="99"/>
      <c r="K91" s="99"/>
      <c r="L91" s="99"/>
      <c r="M91" s="128"/>
      <c r="N91" s="129"/>
      <c r="O91" s="129"/>
      <c r="P91" s="130"/>
      <c r="Q91" s="99"/>
      <c r="R91" s="99"/>
      <c r="S91" s="112"/>
      <c r="T91" s="112"/>
      <c r="U91" s="112"/>
    </row>
    <row r="92" spans="1:21" ht="25.5">
      <c r="A92" s="172"/>
      <c r="B92" s="172"/>
      <c r="C92" s="113" t="s">
        <v>128</v>
      </c>
      <c r="D92" s="65"/>
      <c r="E92" s="193"/>
      <c r="F92" s="117"/>
      <c r="G92" s="99"/>
      <c r="H92" s="99"/>
      <c r="I92" s="99"/>
      <c r="J92" s="99"/>
      <c r="K92" s="99"/>
      <c r="L92" s="99"/>
      <c r="M92" s="128"/>
      <c r="N92" s="129"/>
      <c r="O92" s="129"/>
      <c r="P92" s="130"/>
      <c r="Q92" s="99"/>
      <c r="R92" s="99"/>
      <c r="S92" s="112"/>
      <c r="T92" s="112"/>
      <c r="U92" s="112"/>
    </row>
    <row r="93" spans="1:21" ht="25.5">
      <c r="A93" s="172"/>
      <c r="B93" s="172"/>
      <c r="C93" s="113" t="s">
        <v>129</v>
      </c>
      <c r="D93" s="65"/>
      <c r="E93" s="193"/>
      <c r="F93" s="117"/>
      <c r="G93" s="99"/>
      <c r="H93" s="99"/>
      <c r="I93" s="99"/>
      <c r="J93" s="99"/>
      <c r="K93" s="99"/>
      <c r="L93" s="99"/>
      <c r="M93" s="128"/>
      <c r="N93" s="129"/>
      <c r="O93" s="129"/>
      <c r="P93" s="130"/>
      <c r="Q93" s="99"/>
      <c r="R93" s="99"/>
      <c r="S93" s="112"/>
      <c r="T93" s="112"/>
      <c r="U93" s="112"/>
    </row>
    <row r="94" spans="1:21" ht="25.5">
      <c r="A94" s="172"/>
      <c r="B94" s="172"/>
      <c r="C94" s="113" t="s">
        <v>130</v>
      </c>
      <c r="D94" s="65"/>
      <c r="E94" s="193"/>
      <c r="F94" s="117"/>
      <c r="G94" s="99"/>
      <c r="H94" s="99"/>
      <c r="I94" s="99"/>
      <c r="J94" s="99"/>
      <c r="K94" s="99"/>
      <c r="L94" s="99"/>
      <c r="M94" s="128"/>
      <c r="N94" s="99"/>
      <c r="O94" s="99"/>
      <c r="P94" s="130"/>
      <c r="Q94" s="99"/>
      <c r="R94" s="99"/>
      <c r="S94" s="112"/>
      <c r="T94" s="112"/>
      <c r="U94" s="112"/>
    </row>
    <row r="95" spans="1:21">
      <c r="A95" s="188" t="s">
        <v>69</v>
      </c>
      <c r="B95" s="188"/>
      <c r="C95" s="106"/>
      <c r="D95" s="94">
        <f>SUM(D91:D94)</f>
        <v>0</v>
      </c>
      <c r="E95" s="106"/>
      <c r="F95" s="34">
        <f>SUM(F91:F94)</f>
        <v>0</v>
      </c>
      <c r="G95" s="168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70"/>
      <c r="S95" s="112"/>
      <c r="T95" s="112"/>
      <c r="U95" s="112"/>
    </row>
    <row r="96" spans="1:21" ht="30">
      <c r="A96" s="174">
        <v>7</v>
      </c>
      <c r="B96" s="192" t="s">
        <v>40</v>
      </c>
      <c r="C96" s="131" t="s">
        <v>38</v>
      </c>
      <c r="D96" s="66">
        <v>0</v>
      </c>
      <c r="E96" s="174" t="s">
        <v>19</v>
      </c>
      <c r="F96" s="33">
        <v>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12"/>
      <c r="T96" s="112"/>
      <c r="U96" s="112"/>
    </row>
    <row r="97" spans="1:21" ht="30">
      <c r="A97" s="174"/>
      <c r="B97" s="192"/>
      <c r="C97" s="131" t="s">
        <v>39</v>
      </c>
      <c r="D97" s="66">
        <v>0</v>
      </c>
      <c r="E97" s="174"/>
      <c r="F97" s="33">
        <v>0</v>
      </c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112"/>
      <c r="T97" s="112"/>
      <c r="U97" s="112"/>
    </row>
    <row r="98" spans="1:21">
      <c r="A98" s="188" t="s">
        <v>69</v>
      </c>
      <c r="B98" s="188"/>
      <c r="C98" s="106"/>
      <c r="D98" s="94">
        <f>SUM(D96:D97)</f>
        <v>0</v>
      </c>
      <c r="E98" s="106"/>
      <c r="F98" s="34">
        <f>SUM(F96:F97)</f>
        <v>0</v>
      </c>
      <c r="G98" s="168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70"/>
      <c r="S98" s="112"/>
      <c r="T98" s="112"/>
      <c r="U98" s="112"/>
    </row>
    <row r="99" spans="1:21" ht="30">
      <c r="A99" s="174">
        <v>8</v>
      </c>
      <c r="B99" s="192" t="s">
        <v>18</v>
      </c>
      <c r="C99" s="131" t="s">
        <v>38</v>
      </c>
      <c r="D99" s="66"/>
      <c r="E99" s="174" t="s">
        <v>19</v>
      </c>
      <c r="F99" s="33"/>
      <c r="G99" s="99"/>
      <c r="H99" s="99"/>
      <c r="I99" s="99"/>
      <c r="J99" s="99"/>
      <c r="K99" s="99"/>
      <c r="L99" s="99"/>
      <c r="M99" s="99"/>
      <c r="N99" s="99"/>
      <c r="P99" s="99"/>
      <c r="Q99" s="99"/>
      <c r="R99" s="99"/>
      <c r="S99" s="112"/>
      <c r="T99" s="112"/>
      <c r="U99" s="112"/>
    </row>
    <row r="100" spans="1:21" ht="30">
      <c r="A100" s="174"/>
      <c r="B100" s="192"/>
      <c r="C100" s="131" t="s">
        <v>39</v>
      </c>
      <c r="D100" s="66"/>
      <c r="E100" s="174"/>
      <c r="F100" s="33"/>
      <c r="G100" s="99"/>
      <c r="H100" s="99"/>
      <c r="I100" s="99"/>
      <c r="J100" s="99"/>
      <c r="K100" s="99"/>
      <c r="L100" s="99"/>
      <c r="M100" s="99"/>
      <c r="N100" s="99"/>
      <c r="P100" s="99"/>
      <c r="Q100" s="99"/>
      <c r="R100" s="99"/>
      <c r="S100" s="112"/>
      <c r="T100" s="112"/>
      <c r="U100" s="112"/>
    </row>
    <row r="101" spans="1:21">
      <c r="A101" s="188" t="s">
        <v>69</v>
      </c>
      <c r="B101" s="188"/>
      <c r="C101" s="106"/>
      <c r="D101" s="94">
        <f>SUM(D99:D100)</f>
        <v>0</v>
      </c>
      <c r="E101" s="106"/>
      <c r="F101" s="34">
        <f>SUM(F99:F100)</f>
        <v>0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12"/>
      <c r="T101" s="112"/>
      <c r="U101" s="112"/>
    </row>
    <row r="102" spans="1:21" ht="75">
      <c r="A102" s="95">
        <v>9</v>
      </c>
      <c r="B102" s="131" t="s">
        <v>44</v>
      </c>
      <c r="C102" s="131" t="s">
        <v>48</v>
      </c>
      <c r="D102" s="66">
        <v>0</v>
      </c>
      <c r="E102" s="95" t="s">
        <v>19</v>
      </c>
      <c r="F102" s="33">
        <v>0</v>
      </c>
      <c r="G102" s="99"/>
      <c r="H102" s="99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12"/>
      <c r="T102" s="112"/>
      <c r="U102" s="112"/>
    </row>
    <row r="103" spans="1:21">
      <c r="A103" s="188" t="s">
        <v>69</v>
      </c>
      <c r="B103" s="188"/>
      <c r="C103" s="106"/>
      <c r="D103" s="94">
        <f>SUM(D102)</f>
        <v>0</v>
      </c>
      <c r="E103" s="106"/>
      <c r="F103" s="34">
        <f>F102</f>
        <v>0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112"/>
      <c r="T103" s="112"/>
      <c r="U103" s="112"/>
    </row>
    <row r="104" spans="1:21">
      <c r="A104" s="106">
        <v>10</v>
      </c>
      <c r="B104" s="106" t="s">
        <v>56</v>
      </c>
      <c r="C104" s="185"/>
      <c r="D104" s="186"/>
      <c r="E104" s="186"/>
      <c r="F104" s="187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112"/>
      <c r="T104" s="112"/>
      <c r="U104" s="112"/>
    </row>
    <row r="105" spans="1:21" ht="45">
      <c r="A105" s="95" t="s">
        <v>57</v>
      </c>
      <c r="B105" s="116" t="s">
        <v>20</v>
      </c>
      <c r="C105" s="116" t="s">
        <v>71</v>
      </c>
      <c r="D105" s="66">
        <v>1</v>
      </c>
      <c r="E105" s="95" t="s">
        <v>21</v>
      </c>
      <c r="F105" s="134">
        <v>90</v>
      </c>
      <c r="G105" s="99" t="s">
        <v>97</v>
      </c>
      <c r="H105" s="99" t="s">
        <v>97</v>
      </c>
      <c r="I105" s="99" t="s">
        <v>97</v>
      </c>
      <c r="J105" s="99" t="s">
        <v>97</v>
      </c>
      <c r="K105" s="99" t="s">
        <v>97</v>
      </c>
      <c r="L105" s="99" t="s">
        <v>97</v>
      </c>
      <c r="M105" s="99" t="s">
        <v>97</v>
      </c>
      <c r="N105" s="99" t="s">
        <v>97</v>
      </c>
      <c r="O105" s="99" t="s">
        <v>97</v>
      </c>
      <c r="P105" s="99" t="s">
        <v>97</v>
      </c>
      <c r="Q105" s="99" t="s">
        <v>97</v>
      </c>
      <c r="R105" s="99" t="s">
        <v>97</v>
      </c>
      <c r="S105" s="112"/>
      <c r="T105" s="112"/>
      <c r="U105" s="112"/>
    </row>
    <row r="106" spans="1:21" ht="30">
      <c r="A106" s="95" t="s">
        <v>58</v>
      </c>
      <c r="B106" s="116" t="s">
        <v>46</v>
      </c>
      <c r="C106" s="116" t="s">
        <v>71</v>
      </c>
      <c r="D106" s="66">
        <v>1</v>
      </c>
      <c r="E106" s="95" t="s">
        <v>19</v>
      </c>
      <c r="F106" s="135">
        <v>10</v>
      </c>
      <c r="G106" s="99" t="s">
        <v>97</v>
      </c>
      <c r="H106" s="99" t="s">
        <v>97</v>
      </c>
      <c r="I106" s="99" t="s">
        <v>97</v>
      </c>
      <c r="J106" s="99" t="s">
        <v>97</v>
      </c>
      <c r="K106" s="99" t="s">
        <v>97</v>
      </c>
      <c r="L106" s="99" t="s">
        <v>97</v>
      </c>
      <c r="M106" s="99" t="s">
        <v>97</v>
      </c>
      <c r="N106" s="99" t="s">
        <v>97</v>
      </c>
      <c r="O106" s="99" t="s">
        <v>97</v>
      </c>
      <c r="P106" s="99" t="s">
        <v>97</v>
      </c>
      <c r="Q106" s="99" t="s">
        <v>97</v>
      </c>
      <c r="R106" s="99" t="s">
        <v>97</v>
      </c>
      <c r="S106" s="112"/>
      <c r="T106" s="112"/>
      <c r="U106" s="112"/>
    </row>
    <row r="107" spans="1:21" ht="45">
      <c r="A107" s="95" t="s">
        <v>59</v>
      </c>
      <c r="B107" s="116" t="s">
        <v>79</v>
      </c>
      <c r="C107" s="116" t="s">
        <v>71</v>
      </c>
      <c r="D107" s="66">
        <v>1</v>
      </c>
      <c r="E107" s="95" t="s">
        <v>21</v>
      </c>
      <c r="F107" s="36">
        <v>52</v>
      </c>
      <c r="G107" s="99" t="s">
        <v>97</v>
      </c>
      <c r="H107" s="99" t="s">
        <v>97</v>
      </c>
      <c r="I107" s="99" t="s">
        <v>97</v>
      </c>
      <c r="J107" s="99" t="s">
        <v>97</v>
      </c>
      <c r="K107" s="99" t="s">
        <v>97</v>
      </c>
      <c r="L107" s="99" t="s">
        <v>97</v>
      </c>
      <c r="M107" s="99" t="s">
        <v>97</v>
      </c>
      <c r="N107" s="99" t="s">
        <v>97</v>
      </c>
      <c r="O107" s="99" t="s">
        <v>97</v>
      </c>
      <c r="P107" s="99" t="s">
        <v>97</v>
      </c>
      <c r="Q107" s="99" t="s">
        <v>97</v>
      </c>
      <c r="R107" s="99" t="s">
        <v>97</v>
      </c>
      <c r="S107" s="112"/>
      <c r="T107" s="112"/>
      <c r="U107" s="112"/>
    </row>
    <row r="108" spans="1:21" ht="30">
      <c r="A108" s="95" t="s">
        <v>60</v>
      </c>
      <c r="B108" s="116" t="s">
        <v>47</v>
      </c>
      <c r="C108" s="116" t="s">
        <v>71</v>
      </c>
      <c r="D108" s="66">
        <v>1</v>
      </c>
      <c r="E108" s="95" t="s">
        <v>21</v>
      </c>
      <c r="F108" s="136">
        <v>40</v>
      </c>
      <c r="G108" s="99" t="s">
        <v>97</v>
      </c>
      <c r="H108" s="99" t="s">
        <v>97</v>
      </c>
      <c r="I108" s="99" t="s">
        <v>97</v>
      </c>
      <c r="J108" s="99" t="s">
        <v>97</v>
      </c>
      <c r="K108" s="99" t="s">
        <v>97</v>
      </c>
      <c r="L108" s="99" t="s">
        <v>97</v>
      </c>
      <c r="M108" s="99" t="s">
        <v>97</v>
      </c>
      <c r="N108" s="99" t="s">
        <v>97</v>
      </c>
      <c r="O108" s="99" t="s">
        <v>97</v>
      </c>
      <c r="P108" s="99" t="s">
        <v>97</v>
      </c>
      <c r="Q108" s="99" t="s">
        <v>97</v>
      </c>
      <c r="R108" s="99" t="s">
        <v>97</v>
      </c>
      <c r="S108" s="112"/>
      <c r="T108" s="112"/>
      <c r="U108" s="112"/>
    </row>
    <row r="109" spans="1:21" ht="30">
      <c r="A109" s="121" t="s">
        <v>121</v>
      </c>
      <c r="B109" s="116" t="s">
        <v>187</v>
      </c>
      <c r="C109" s="137" t="s">
        <v>123</v>
      </c>
      <c r="D109" s="66">
        <v>1</v>
      </c>
      <c r="E109" s="95"/>
      <c r="F109" s="136">
        <v>180</v>
      </c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112"/>
      <c r="T109" s="112"/>
      <c r="U109" s="112"/>
    </row>
    <row r="110" spans="1:21">
      <c r="A110" s="188" t="s">
        <v>69</v>
      </c>
      <c r="B110" s="188"/>
      <c r="C110" s="106"/>
      <c r="D110" s="94">
        <f>D108</f>
        <v>1</v>
      </c>
      <c r="E110" s="106"/>
      <c r="F110" s="34">
        <f>SUM(F105:F109)</f>
        <v>372</v>
      </c>
      <c r="G110" s="168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70"/>
      <c r="S110" s="112"/>
      <c r="T110" s="112"/>
      <c r="U110" s="112"/>
    </row>
    <row r="111" spans="1:21">
      <c r="A111" s="106">
        <v>11</v>
      </c>
      <c r="B111" s="106" t="s">
        <v>61</v>
      </c>
      <c r="C111" s="116"/>
      <c r="D111" s="66"/>
      <c r="E111" s="95"/>
      <c r="F111" s="135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112"/>
      <c r="T111" s="112"/>
      <c r="U111" s="112"/>
    </row>
    <row r="112" spans="1:21" ht="30">
      <c r="A112" s="95" t="s">
        <v>57</v>
      </c>
      <c r="B112" s="116" t="s">
        <v>72</v>
      </c>
      <c r="C112" s="116" t="s">
        <v>48</v>
      </c>
      <c r="D112" s="66">
        <v>1</v>
      </c>
      <c r="E112" s="95" t="s">
        <v>19</v>
      </c>
      <c r="F112" s="135">
        <v>4</v>
      </c>
      <c r="G112" s="99"/>
      <c r="H112" s="99"/>
      <c r="I112" s="99"/>
      <c r="J112" s="99"/>
      <c r="K112" s="99"/>
      <c r="L112" s="99"/>
      <c r="M112" s="99" t="s">
        <v>97</v>
      </c>
      <c r="N112" s="99" t="s">
        <v>97</v>
      </c>
      <c r="O112" s="99" t="s">
        <v>97</v>
      </c>
      <c r="P112" s="99" t="s">
        <v>97</v>
      </c>
      <c r="Q112" s="99" t="s">
        <v>97</v>
      </c>
      <c r="R112" s="99"/>
      <c r="S112" s="112"/>
      <c r="T112" s="112"/>
      <c r="U112" s="112"/>
    </row>
    <row r="113" spans="1:21" ht="30">
      <c r="A113" s="95" t="s">
        <v>58</v>
      </c>
      <c r="B113" s="116" t="s">
        <v>49</v>
      </c>
      <c r="C113" s="137" t="s">
        <v>48</v>
      </c>
      <c r="D113" s="66"/>
      <c r="E113" s="95" t="s">
        <v>21</v>
      </c>
      <c r="F113" s="135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112"/>
      <c r="T113" s="112"/>
      <c r="U113" s="112"/>
    </row>
    <row r="114" spans="1:21" ht="25.5" customHeight="1">
      <c r="A114" s="95" t="s">
        <v>59</v>
      </c>
      <c r="B114" s="116" t="s">
        <v>62</v>
      </c>
      <c r="C114" s="116" t="s">
        <v>63</v>
      </c>
      <c r="D114" s="66">
        <v>1</v>
      </c>
      <c r="E114" s="95" t="s">
        <v>21</v>
      </c>
      <c r="F114" s="135">
        <v>3</v>
      </c>
      <c r="G114" s="99" t="s">
        <v>97</v>
      </c>
      <c r="H114" s="99" t="s">
        <v>97</v>
      </c>
      <c r="I114" s="99" t="s">
        <v>97</v>
      </c>
      <c r="J114" s="99" t="s">
        <v>97</v>
      </c>
      <c r="K114" s="99" t="s">
        <v>97</v>
      </c>
      <c r="L114" s="99" t="s">
        <v>97</v>
      </c>
      <c r="M114" s="99" t="s">
        <v>97</v>
      </c>
      <c r="N114" s="99" t="s">
        <v>97</v>
      </c>
      <c r="O114" s="99" t="s">
        <v>97</v>
      </c>
      <c r="P114" s="99" t="s">
        <v>97</v>
      </c>
      <c r="Q114" s="99" t="s">
        <v>97</v>
      </c>
      <c r="R114" s="99" t="s">
        <v>97</v>
      </c>
      <c r="S114" s="112"/>
      <c r="T114" s="112"/>
      <c r="U114" s="112"/>
    </row>
    <row r="115" spans="1:21" ht="30">
      <c r="A115" s="121" t="s">
        <v>60</v>
      </c>
      <c r="B115" s="137" t="s">
        <v>120</v>
      </c>
      <c r="C115" s="116"/>
      <c r="D115" s="66">
        <v>1</v>
      </c>
      <c r="E115" s="95" t="s">
        <v>21</v>
      </c>
      <c r="F115" s="135">
        <v>5</v>
      </c>
      <c r="G115" s="99" t="s">
        <v>97</v>
      </c>
      <c r="H115" s="99" t="s">
        <v>97</v>
      </c>
      <c r="I115" s="99" t="s">
        <v>97</v>
      </c>
      <c r="J115" s="99" t="s">
        <v>97</v>
      </c>
      <c r="K115" s="99" t="s">
        <v>97</v>
      </c>
      <c r="L115" s="99" t="s">
        <v>97</v>
      </c>
      <c r="M115" s="99" t="s">
        <v>97</v>
      </c>
      <c r="N115" s="99" t="s">
        <v>97</v>
      </c>
      <c r="O115" s="99" t="s">
        <v>97</v>
      </c>
      <c r="P115" s="99" t="s">
        <v>97</v>
      </c>
      <c r="Q115" s="99" t="s">
        <v>97</v>
      </c>
      <c r="R115" s="99" t="s">
        <v>97</v>
      </c>
      <c r="S115" s="112"/>
      <c r="T115" s="112"/>
      <c r="U115" s="112"/>
    </row>
    <row r="116" spans="1:21">
      <c r="A116" s="188" t="s">
        <v>69</v>
      </c>
      <c r="B116" s="188"/>
      <c r="C116" s="106"/>
      <c r="D116" s="94">
        <f>SUM(D112:D115)</f>
        <v>3</v>
      </c>
      <c r="E116" s="106"/>
      <c r="F116" s="34">
        <f>SUM(F112:F115)</f>
        <v>12</v>
      </c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112"/>
      <c r="T116" s="112"/>
      <c r="U116" s="112"/>
    </row>
    <row r="117" spans="1:21" ht="30">
      <c r="A117" s="106">
        <v>12</v>
      </c>
      <c r="B117" s="126" t="s">
        <v>64</v>
      </c>
      <c r="C117" s="116"/>
      <c r="D117" s="66"/>
      <c r="E117" s="95"/>
      <c r="F117" s="135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112"/>
      <c r="T117" s="112"/>
      <c r="U117" s="112"/>
    </row>
    <row r="118" spans="1:21" ht="45">
      <c r="A118" s="95" t="s">
        <v>57</v>
      </c>
      <c r="B118" s="116" t="s">
        <v>65</v>
      </c>
      <c r="C118" s="116" t="s">
        <v>67</v>
      </c>
      <c r="D118" s="66">
        <v>1</v>
      </c>
      <c r="E118" s="95" t="s">
        <v>73</v>
      </c>
      <c r="F118" s="135">
        <v>58</v>
      </c>
      <c r="G118" s="99"/>
      <c r="H118" s="99"/>
      <c r="I118" s="133" t="s">
        <v>97</v>
      </c>
      <c r="J118" s="133" t="s">
        <v>97</v>
      </c>
      <c r="K118" s="133" t="s">
        <v>97</v>
      </c>
      <c r="L118" s="133" t="s">
        <v>97</v>
      </c>
      <c r="M118" s="133" t="s">
        <v>97</v>
      </c>
      <c r="N118" s="133" t="s">
        <v>97</v>
      </c>
      <c r="O118" s="133" t="s">
        <v>97</v>
      </c>
      <c r="P118" s="133" t="s">
        <v>97</v>
      </c>
      <c r="Q118" s="133" t="s">
        <v>97</v>
      </c>
      <c r="R118" s="133" t="s">
        <v>97</v>
      </c>
      <c r="S118" s="112"/>
      <c r="T118" s="112"/>
      <c r="U118" s="112"/>
    </row>
    <row r="119" spans="1:21" ht="30">
      <c r="A119" s="95" t="s">
        <v>58</v>
      </c>
      <c r="B119" s="116" t="s">
        <v>68</v>
      </c>
      <c r="C119" s="116" t="s">
        <v>66</v>
      </c>
      <c r="D119" s="66">
        <v>1</v>
      </c>
      <c r="E119" s="95" t="s">
        <v>19</v>
      </c>
      <c r="F119" s="135">
        <v>105</v>
      </c>
      <c r="G119" s="99"/>
      <c r="H119" s="99"/>
      <c r="I119" s="133" t="s">
        <v>97</v>
      </c>
      <c r="J119" s="133" t="s">
        <v>97</v>
      </c>
      <c r="K119" s="133" t="s">
        <v>97</v>
      </c>
      <c r="L119" s="133" t="s">
        <v>97</v>
      </c>
      <c r="M119" s="133" t="s">
        <v>97</v>
      </c>
      <c r="N119" s="133" t="s">
        <v>97</v>
      </c>
      <c r="O119" s="133" t="s">
        <v>97</v>
      </c>
      <c r="P119" s="133" t="s">
        <v>97</v>
      </c>
      <c r="Q119" s="133" t="s">
        <v>97</v>
      </c>
      <c r="R119" s="133" t="s">
        <v>97</v>
      </c>
      <c r="S119" s="112"/>
      <c r="T119" s="112"/>
      <c r="U119" s="112"/>
    </row>
    <row r="120" spans="1:21">
      <c r="A120" s="188" t="s">
        <v>69</v>
      </c>
      <c r="B120" s="188"/>
      <c r="C120" s="106"/>
      <c r="D120" s="94">
        <f>SUM(D118:D119)</f>
        <v>2</v>
      </c>
      <c r="E120" s="106"/>
      <c r="F120" s="54">
        <f>SUM(F118:F119)</f>
        <v>163</v>
      </c>
      <c r="G120" s="168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70"/>
      <c r="S120" s="112"/>
      <c r="T120" s="112"/>
      <c r="U120" s="112"/>
    </row>
    <row r="121" spans="1:21">
      <c r="A121" s="174">
        <v>13</v>
      </c>
      <c r="B121" s="116" t="s">
        <v>53</v>
      </c>
      <c r="C121" s="116" t="s">
        <v>52</v>
      </c>
      <c r="D121" s="66"/>
      <c r="E121" s="95" t="s">
        <v>19</v>
      </c>
      <c r="F121" s="135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12"/>
      <c r="T121" s="112"/>
      <c r="U121" s="112"/>
    </row>
    <row r="122" spans="1:21">
      <c r="A122" s="174"/>
      <c r="B122" s="116" t="s">
        <v>54</v>
      </c>
      <c r="C122" s="116" t="s">
        <v>52</v>
      </c>
      <c r="D122" s="66"/>
      <c r="E122" s="95" t="s">
        <v>19</v>
      </c>
      <c r="F122" s="135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12"/>
      <c r="T122" s="112"/>
      <c r="U122" s="112"/>
    </row>
    <row r="123" spans="1:21">
      <c r="A123" s="188" t="s">
        <v>69</v>
      </c>
      <c r="B123" s="188"/>
      <c r="C123" s="106"/>
      <c r="D123" s="94">
        <f>D121</f>
        <v>0</v>
      </c>
      <c r="E123" s="106"/>
      <c r="F123" s="54">
        <f>SUM(F121:F122)</f>
        <v>0</v>
      </c>
      <c r="G123" s="168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70"/>
      <c r="S123" s="112"/>
      <c r="T123" s="112"/>
      <c r="U123" s="112"/>
    </row>
    <row r="124" spans="1:21">
      <c r="A124" s="95">
        <v>14</v>
      </c>
      <c r="B124" s="116" t="s">
        <v>55</v>
      </c>
      <c r="C124" s="116" t="s">
        <v>51</v>
      </c>
      <c r="D124" s="66"/>
      <c r="E124" s="95" t="s">
        <v>19</v>
      </c>
      <c r="F124" s="135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12"/>
      <c r="T124" s="112"/>
      <c r="U124" s="112"/>
    </row>
    <row r="125" spans="1:21">
      <c r="A125" s="95"/>
      <c r="B125" s="116" t="s">
        <v>54</v>
      </c>
      <c r="C125" s="116" t="s">
        <v>51</v>
      </c>
      <c r="D125" s="66"/>
      <c r="E125" s="95" t="s">
        <v>19</v>
      </c>
      <c r="F125" s="135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12"/>
      <c r="T125" s="112"/>
      <c r="U125" s="112"/>
    </row>
    <row r="126" spans="1:21">
      <c r="A126" s="188" t="s">
        <v>69</v>
      </c>
      <c r="B126" s="188"/>
      <c r="C126" s="106"/>
      <c r="D126" s="94">
        <f>D124</f>
        <v>0</v>
      </c>
      <c r="E126" s="106"/>
      <c r="F126" s="54">
        <f>SUM(F124:F125)</f>
        <v>0</v>
      </c>
      <c r="G126" s="168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70"/>
      <c r="S126" s="112"/>
      <c r="T126" s="112"/>
      <c r="U126" s="112"/>
    </row>
    <row r="127" spans="1:21">
      <c r="A127" s="106">
        <v>15</v>
      </c>
      <c r="B127" s="106" t="s">
        <v>117</v>
      </c>
      <c r="C127" s="106"/>
      <c r="D127" s="94"/>
      <c r="E127" s="106"/>
      <c r="F127" s="54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112"/>
      <c r="T127" s="112"/>
      <c r="U127" s="112"/>
    </row>
    <row r="128" spans="1:21" ht="30">
      <c r="A128" s="95"/>
      <c r="B128" s="139" t="s">
        <v>118</v>
      </c>
      <c r="C128" s="121" t="s">
        <v>50</v>
      </c>
      <c r="D128" s="65">
        <v>0</v>
      </c>
      <c r="E128" s="121" t="s">
        <v>26</v>
      </c>
      <c r="F128" s="54">
        <v>0</v>
      </c>
      <c r="G128" s="133"/>
      <c r="H128" s="133"/>
      <c r="I128" s="133"/>
      <c r="J128" s="133"/>
      <c r="K128" s="133"/>
      <c r="L128" s="133"/>
      <c r="M128" s="99"/>
      <c r="N128" s="133"/>
      <c r="O128" s="133"/>
      <c r="P128" s="133"/>
      <c r="Q128" s="133"/>
      <c r="R128" s="133"/>
      <c r="S128" s="112"/>
      <c r="T128" s="112"/>
      <c r="U128" s="112"/>
    </row>
    <row r="129" spans="1:21" ht="30">
      <c r="A129" s="95"/>
      <c r="B129" s="139" t="s">
        <v>119</v>
      </c>
      <c r="C129" s="121" t="s">
        <v>50</v>
      </c>
      <c r="D129" s="65">
        <v>0</v>
      </c>
      <c r="E129" s="121" t="s">
        <v>26</v>
      </c>
      <c r="F129" s="54">
        <v>0</v>
      </c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12"/>
      <c r="T129" s="112"/>
      <c r="U129" s="112"/>
    </row>
    <row r="130" spans="1:21">
      <c r="A130" s="188" t="s">
        <v>69</v>
      </c>
      <c r="B130" s="188"/>
      <c r="C130" s="106"/>
      <c r="D130" s="94">
        <f>D128</f>
        <v>0</v>
      </c>
      <c r="E130" s="106"/>
      <c r="F130" s="54">
        <f>SUM(F128:F129)</f>
        <v>0</v>
      </c>
      <c r="G130" s="168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70"/>
      <c r="S130" s="112"/>
      <c r="T130" s="112"/>
      <c r="U130" s="112"/>
    </row>
    <row r="131" spans="1:21">
      <c r="A131" s="106">
        <v>16</v>
      </c>
      <c r="B131" s="106" t="s">
        <v>74</v>
      </c>
      <c r="C131" s="121"/>
      <c r="D131" s="106"/>
      <c r="E131" s="121"/>
      <c r="F131" s="54"/>
      <c r="G131" s="168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70"/>
      <c r="S131" s="112"/>
      <c r="T131" s="112"/>
      <c r="U131" s="112"/>
    </row>
    <row r="132" spans="1:21">
      <c r="A132" s="174"/>
      <c r="B132" s="192" t="s">
        <v>22</v>
      </c>
      <c r="C132" s="131" t="s">
        <v>37</v>
      </c>
      <c r="D132" s="95"/>
      <c r="E132" s="95" t="s">
        <v>19</v>
      </c>
      <c r="F132" s="135">
        <v>0</v>
      </c>
      <c r="G132" s="175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7"/>
      <c r="S132" s="112"/>
      <c r="T132" s="112"/>
      <c r="U132" s="112"/>
    </row>
    <row r="133" spans="1:21">
      <c r="A133" s="174"/>
      <c r="B133" s="192"/>
      <c r="C133" s="131" t="s">
        <v>42</v>
      </c>
      <c r="D133" s="95">
        <v>0</v>
      </c>
      <c r="E133" s="95" t="s">
        <v>21</v>
      </c>
      <c r="F133" s="135">
        <v>0</v>
      </c>
      <c r="G133" s="181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3"/>
      <c r="S133" s="112"/>
      <c r="T133" s="112"/>
      <c r="U133" s="112"/>
    </row>
    <row r="134" spans="1:21">
      <c r="A134" s="188" t="s">
        <v>69</v>
      </c>
      <c r="B134" s="188"/>
      <c r="C134" s="106"/>
      <c r="D134" s="94">
        <f>D132+D133</f>
        <v>0</v>
      </c>
      <c r="E134" s="106"/>
      <c r="F134" s="54">
        <f>F133+F132</f>
        <v>0</v>
      </c>
      <c r="G134" s="168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70"/>
      <c r="S134" s="112"/>
      <c r="T134" s="112"/>
      <c r="U134" s="112"/>
    </row>
    <row r="135" spans="1:21">
      <c r="A135" s="106">
        <v>17</v>
      </c>
      <c r="B135" s="106" t="s">
        <v>70</v>
      </c>
      <c r="C135" s="106"/>
      <c r="D135" s="106"/>
      <c r="E135" s="106"/>
      <c r="F135" s="54"/>
      <c r="G135" s="168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70"/>
      <c r="S135" s="112"/>
      <c r="T135" s="112"/>
      <c r="U135" s="112"/>
    </row>
    <row r="136" spans="1:21">
      <c r="A136" s="121"/>
      <c r="B136" s="111" t="s">
        <v>75</v>
      </c>
      <c r="C136" s="111" t="s">
        <v>42</v>
      </c>
      <c r="D136" s="121">
        <v>0</v>
      </c>
      <c r="E136" s="95" t="s">
        <v>19</v>
      </c>
      <c r="F136" s="135">
        <v>0</v>
      </c>
      <c r="G136" s="99"/>
      <c r="H136" s="99"/>
      <c r="I136" s="99"/>
      <c r="J136" s="99"/>
      <c r="K136" s="99"/>
      <c r="L136" s="99"/>
      <c r="M136" s="99"/>
      <c r="N136" s="133"/>
      <c r="O136" s="133"/>
      <c r="P136" s="99"/>
      <c r="Q136" s="99"/>
      <c r="R136" s="99"/>
      <c r="S136" s="112"/>
      <c r="T136" s="112"/>
      <c r="U136" s="112"/>
    </row>
    <row r="137" spans="1:21">
      <c r="A137" s="121"/>
      <c r="B137" s="111" t="s">
        <v>76</v>
      </c>
      <c r="C137" s="111" t="s">
        <v>42</v>
      </c>
      <c r="D137" s="121"/>
      <c r="E137" s="95" t="s">
        <v>19</v>
      </c>
      <c r="F137" s="135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12"/>
      <c r="T137" s="112"/>
      <c r="U137" s="112"/>
    </row>
    <row r="138" spans="1:21">
      <c r="A138" s="121"/>
      <c r="B138" s="111" t="s">
        <v>96</v>
      </c>
      <c r="C138" s="111" t="s">
        <v>42</v>
      </c>
      <c r="D138" s="121"/>
      <c r="E138" s="95" t="s">
        <v>19</v>
      </c>
      <c r="F138" s="135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12"/>
      <c r="T138" s="112"/>
      <c r="U138" s="112"/>
    </row>
    <row r="139" spans="1:21">
      <c r="A139" s="188" t="s">
        <v>69</v>
      </c>
      <c r="B139" s="188"/>
      <c r="C139" s="106"/>
      <c r="D139" s="94">
        <f>SUM(D136:D138)</f>
        <v>0</v>
      </c>
      <c r="E139" s="106"/>
      <c r="F139" s="54">
        <f>SUM(F136:F138)</f>
        <v>0</v>
      </c>
      <c r="G139" s="168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70"/>
      <c r="S139" s="112"/>
      <c r="T139" s="112"/>
      <c r="U139" s="112"/>
    </row>
    <row r="140" spans="1:21" ht="15.75">
      <c r="A140" s="214" t="s">
        <v>85</v>
      </c>
      <c r="B140" s="214"/>
      <c r="C140" s="146"/>
      <c r="D140" s="147">
        <f>D10+D64+D68+D82+D90+D95+D98+D101+D103+D110+D116+D120+D123+D126+D130+D134+D139</f>
        <v>6</v>
      </c>
      <c r="E140" s="146"/>
      <c r="F140" s="148">
        <f>F10+F64+F68+F82+F90+F95+F98+F101+F103+F110+F116+F120+F123+F126+F130+F134+F139</f>
        <v>549</v>
      </c>
      <c r="G140" s="168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70"/>
      <c r="S140" s="112"/>
      <c r="T140" s="112"/>
      <c r="U140" s="112"/>
    </row>
    <row r="141" spans="1:21" ht="15.75" thickBot="1">
      <c r="A141" s="215"/>
      <c r="B141" s="215"/>
      <c r="C141" s="215"/>
      <c r="D141" s="215"/>
      <c r="E141" s="217"/>
      <c r="F141" s="217"/>
      <c r="G141" s="217"/>
      <c r="H141" s="217"/>
      <c r="I141" s="217"/>
      <c r="J141" s="217"/>
      <c r="K141" s="218"/>
      <c r="L141" s="218"/>
      <c r="M141" s="218"/>
      <c r="N141" s="218"/>
      <c r="O141" s="218"/>
      <c r="P141" s="218"/>
      <c r="Q141" s="218"/>
    </row>
    <row r="142" spans="1:21" ht="18.75">
      <c r="A142" s="219" t="s">
        <v>2</v>
      </c>
      <c r="B142" s="220"/>
      <c r="C142" s="221"/>
      <c r="D142" s="222"/>
      <c r="E142" s="217"/>
      <c r="F142" s="217"/>
      <c r="G142" s="217"/>
      <c r="H142" s="217"/>
      <c r="I142" s="217"/>
      <c r="J142" s="217"/>
      <c r="K142" s="223" t="s">
        <v>24</v>
      </c>
      <c r="L142" s="224"/>
      <c r="M142" s="224"/>
      <c r="N142" s="224"/>
      <c r="O142" s="224"/>
      <c r="P142" s="224"/>
      <c r="Q142" s="225"/>
    </row>
    <row r="143" spans="1:21" ht="18.75">
      <c r="A143" s="207" t="s">
        <v>25</v>
      </c>
      <c r="B143" s="208"/>
      <c r="C143" s="209"/>
      <c r="D143" s="210"/>
      <c r="E143" s="217"/>
      <c r="F143" s="217"/>
      <c r="G143" s="217"/>
      <c r="H143" s="217"/>
      <c r="I143" s="217"/>
      <c r="J143" s="217"/>
      <c r="K143" s="211" t="s">
        <v>29</v>
      </c>
      <c r="L143" s="212"/>
      <c r="M143" s="212"/>
      <c r="N143" s="212"/>
      <c r="O143" s="212"/>
      <c r="P143" s="212"/>
      <c r="Q143" s="213"/>
    </row>
    <row r="144" spans="1:21" ht="18.75">
      <c r="A144" s="207" t="s">
        <v>26</v>
      </c>
      <c r="B144" s="208"/>
      <c r="C144" s="209"/>
      <c r="D144" s="210"/>
      <c r="E144" s="217"/>
      <c r="F144" s="217"/>
      <c r="G144" s="217"/>
      <c r="H144" s="217"/>
      <c r="I144" s="217"/>
      <c r="J144" s="217"/>
      <c r="K144" s="211" t="s">
        <v>30</v>
      </c>
      <c r="L144" s="212"/>
      <c r="M144" s="212"/>
      <c r="N144" s="212"/>
      <c r="O144" s="212"/>
      <c r="P144" s="212"/>
      <c r="Q144" s="213"/>
    </row>
    <row r="145" spans="1:17" ht="18.75">
      <c r="A145" s="207" t="s">
        <v>21</v>
      </c>
      <c r="B145" s="208"/>
      <c r="C145" s="209"/>
      <c r="D145" s="210"/>
      <c r="E145" s="217"/>
      <c r="F145" s="217"/>
      <c r="G145" s="217"/>
      <c r="H145" s="217"/>
      <c r="I145" s="217"/>
      <c r="J145" s="217"/>
      <c r="K145" s="211" t="s">
        <v>31</v>
      </c>
      <c r="L145" s="212"/>
      <c r="M145" s="212"/>
      <c r="N145" s="212"/>
      <c r="O145" s="212"/>
      <c r="P145" s="212"/>
      <c r="Q145" s="213"/>
    </row>
    <row r="146" spans="1:17" ht="18.75">
      <c r="A146" s="207" t="s">
        <v>19</v>
      </c>
      <c r="B146" s="208"/>
      <c r="C146" s="209"/>
      <c r="D146" s="210"/>
      <c r="E146" s="217"/>
      <c r="F146" s="217"/>
      <c r="G146" s="217"/>
      <c r="H146" s="217"/>
      <c r="I146" s="217"/>
      <c r="J146" s="217"/>
      <c r="K146" s="211" t="s">
        <v>32</v>
      </c>
      <c r="L146" s="212"/>
      <c r="M146" s="212"/>
      <c r="N146" s="212"/>
      <c r="O146" s="212"/>
      <c r="P146" s="212"/>
      <c r="Q146" s="213"/>
    </row>
    <row r="147" spans="1:17" ht="18.75">
      <c r="A147" s="207" t="s">
        <v>27</v>
      </c>
      <c r="B147" s="208"/>
      <c r="C147" s="209"/>
      <c r="D147" s="210"/>
      <c r="E147" s="217"/>
      <c r="F147" s="217"/>
      <c r="G147" s="217"/>
      <c r="H147" s="217"/>
      <c r="I147" s="217"/>
      <c r="J147" s="217"/>
      <c r="K147" s="211" t="s">
        <v>33</v>
      </c>
      <c r="L147" s="212"/>
      <c r="M147" s="212"/>
      <c r="N147" s="212"/>
      <c r="O147" s="212"/>
      <c r="P147" s="212"/>
      <c r="Q147" s="213"/>
    </row>
    <row r="148" spans="1:17" ht="19.5" thickBot="1">
      <c r="A148" s="226" t="s">
        <v>28</v>
      </c>
      <c r="B148" s="227"/>
      <c r="C148" s="228"/>
      <c r="D148" s="229"/>
      <c r="E148" s="217"/>
      <c r="F148" s="217"/>
      <c r="G148" s="217"/>
      <c r="H148" s="217"/>
      <c r="I148" s="217"/>
      <c r="J148" s="217"/>
      <c r="K148" s="230" t="s">
        <v>34</v>
      </c>
      <c r="L148" s="231"/>
      <c r="M148" s="231"/>
      <c r="N148" s="231"/>
      <c r="O148" s="231"/>
      <c r="P148" s="231"/>
      <c r="Q148" s="232"/>
    </row>
    <row r="149" spans="1:17">
      <c r="A149" s="149"/>
    </row>
    <row r="150" spans="1:17">
      <c r="A150" s="149"/>
    </row>
    <row r="151" spans="1:17">
      <c r="A151" s="149"/>
    </row>
  </sheetData>
  <mergeCells count="113"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A10:B10"/>
    <mergeCell ref="A12:A15"/>
    <mergeCell ref="A16:A19"/>
    <mergeCell ref="A51:A54"/>
    <mergeCell ref="A55:A58"/>
    <mergeCell ref="A59:A62"/>
    <mergeCell ref="A64:B64"/>
    <mergeCell ref="A68:B68"/>
    <mergeCell ref="A37:B37"/>
    <mergeCell ref="A38:A41"/>
    <mergeCell ref="A42:A45"/>
    <mergeCell ref="A46:A49"/>
    <mergeCell ref="A50:B50"/>
    <mergeCell ref="E69:E73"/>
    <mergeCell ref="P69:R69"/>
    <mergeCell ref="P70:R70"/>
    <mergeCell ref="P71:R71"/>
    <mergeCell ref="P72:R72"/>
    <mergeCell ref="P73:R73"/>
    <mergeCell ref="A74:C74"/>
    <mergeCell ref="G74:R74"/>
    <mergeCell ref="A20:A23"/>
    <mergeCell ref="A24:B24"/>
    <mergeCell ref="A25:A28"/>
    <mergeCell ref="A29:A32"/>
    <mergeCell ref="A33:A36"/>
    <mergeCell ref="A63:B63"/>
    <mergeCell ref="A69:A73"/>
    <mergeCell ref="B69:B73"/>
    <mergeCell ref="A90:B90"/>
    <mergeCell ref="G90:R90"/>
    <mergeCell ref="A91:A94"/>
    <mergeCell ref="B91:B94"/>
    <mergeCell ref="E91:E94"/>
    <mergeCell ref="E75:E77"/>
    <mergeCell ref="P75:R75"/>
    <mergeCell ref="P76:R76"/>
    <mergeCell ref="P77:R77"/>
    <mergeCell ref="G78:R78"/>
    <mergeCell ref="A81:B81"/>
    <mergeCell ref="A82:C82"/>
    <mergeCell ref="E84:E89"/>
    <mergeCell ref="G84:L84"/>
    <mergeCell ref="G85:R85"/>
    <mergeCell ref="G86:R86"/>
    <mergeCell ref="G87:R87"/>
    <mergeCell ref="G88:R88"/>
    <mergeCell ref="G89:R89"/>
    <mergeCell ref="A78:C78"/>
    <mergeCell ref="A75:A77"/>
    <mergeCell ref="B75:B77"/>
    <mergeCell ref="A98:B98"/>
    <mergeCell ref="G98:R98"/>
    <mergeCell ref="A99:A100"/>
    <mergeCell ref="B99:B100"/>
    <mergeCell ref="E99:E100"/>
    <mergeCell ref="A95:B95"/>
    <mergeCell ref="G95:R95"/>
    <mergeCell ref="A96:A97"/>
    <mergeCell ref="B96:B97"/>
    <mergeCell ref="E96:E97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A101:B101"/>
    <mergeCell ref="A103:B103"/>
    <mergeCell ref="C104:F104"/>
    <mergeCell ref="A110:B110"/>
    <mergeCell ref="G110:R110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G132:R133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 verticalCentered="1"/>
  <pageMargins left="0.23622047244094491" right="0.23622047244094491" top="0.23622047244094491" bottom="0.23622047244094491" header="0" footer="0"/>
  <pageSetup paperSize="9" scale="57" orientation="landscape" r:id="rId1"/>
  <rowBreaks count="2" manualBreakCount="2">
    <brk id="37" max="17" man="1"/>
    <brk id="77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U151"/>
  <sheetViews>
    <sheetView view="pageBreakPreview" zoomScale="85" zoomScaleSheetLayoutView="85" workbookViewId="0">
      <pane xSplit="2" ySplit="5" topLeftCell="D111" activePane="bottomRight" state="frozen"/>
      <selection activeCell="I44" sqref="I44"/>
      <selection pane="topRight" activeCell="I44" sqref="I44"/>
      <selection pane="bottomLeft" activeCell="I44" sqref="I44"/>
      <selection pane="bottomRight" activeCell="N97" sqref="G97:R122"/>
    </sheetView>
  </sheetViews>
  <sheetFormatPr defaultRowHeight="15"/>
  <cols>
    <col min="1" max="1" width="9.140625" style="2"/>
    <col min="2" max="2" width="28.140625" style="1" customWidth="1"/>
    <col min="3" max="3" width="19.140625" style="1" bestFit="1" customWidth="1"/>
    <col min="4" max="4" width="12.7109375" style="2" customWidth="1"/>
    <col min="5" max="5" width="21.42578125" style="2" customWidth="1"/>
    <col min="6" max="6" width="14.7109375" style="31" bestFit="1" customWidth="1"/>
    <col min="7" max="8" width="9.140625" style="8"/>
    <col min="9" max="9" width="11.5703125" style="8" bestFit="1" customWidth="1"/>
    <col min="10" max="18" width="9.140625" style="8"/>
    <col min="19" max="16384" width="9.140625" style="1"/>
  </cols>
  <sheetData>
    <row r="1" spans="1:21" ht="26.25" customHeight="1">
      <c r="A1" s="292" t="s">
        <v>186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4"/>
    </row>
    <row r="2" spans="1:21" ht="18.75" customHeight="1">
      <c r="A2" s="295" t="s">
        <v>192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7"/>
    </row>
    <row r="3" spans="1:21">
      <c r="A3" s="6"/>
      <c r="B3" s="7"/>
      <c r="C3" s="7"/>
      <c r="D3" s="48"/>
      <c r="E3" s="48"/>
      <c r="F3" s="2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9"/>
    </row>
    <row r="4" spans="1:21" ht="15" customHeight="1">
      <c r="A4" s="261" t="s">
        <v>0</v>
      </c>
      <c r="B4" s="261" t="s">
        <v>1</v>
      </c>
      <c r="C4" s="261" t="s">
        <v>36</v>
      </c>
      <c r="D4" s="261" t="s">
        <v>16</v>
      </c>
      <c r="E4" s="261" t="s">
        <v>2</v>
      </c>
      <c r="F4" s="298" t="s">
        <v>3</v>
      </c>
      <c r="G4" s="261" t="s">
        <v>194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</row>
    <row r="5" spans="1:21">
      <c r="A5" s="261"/>
      <c r="B5" s="261"/>
      <c r="C5" s="261"/>
      <c r="D5" s="261"/>
      <c r="E5" s="261"/>
      <c r="F5" s="298"/>
      <c r="G5" s="40" t="s">
        <v>4</v>
      </c>
      <c r="H5" s="40" t="s">
        <v>5</v>
      </c>
      <c r="I5" s="40" t="s">
        <v>6</v>
      </c>
      <c r="J5" s="40" t="s">
        <v>7</v>
      </c>
      <c r="K5" s="40" t="s">
        <v>8</v>
      </c>
      <c r="L5" s="40" t="s">
        <v>9</v>
      </c>
      <c r="M5" s="40" t="s">
        <v>10</v>
      </c>
      <c r="N5" s="40" t="s">
        <v>11</v>
      </c>
      <c r="O5" s="40" t="s">
        <v>12</v>
      </c>
      <c r="P5" s="40" t="s">
        <v>13</v>
      </c>
      <c r="Q5" s="40" t="s">
        <v>14</v>
      </c>
      <c r="R5" s="40" t="s">
        <v>15</v>
      </c>
    </row>
    <row r="6" spans="1:21">
      <c r="A6" s="11">
        <v>1</v>
      </c>
      <c r="B6" s="10" t="s">
        <v>41</v>
      </c>
      <c r="C6" s="14"/>
      <c r="D6" s="12"/>
      <c r="E6" s="40"/>
      <c r="F6" s="4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1" ht="15" customHeight="1">
      <c r="A7" s="40"/>
      <c r="B7" s="15" t="s">
        <v>75</v>
      </c>
      <c r="C7" s="15" t="s">
        <v>42</v>
      </c>
      <c r="D7" s="16">
        <f>+'State Component'!D7+'West Champaran'!D7+Vaishali!D7+Supaul!D7+Siwan!D7+Sitamarhi!D7+Sheohar!D7+Sheikhpura!D7+Saran!D7+Samastipur!D7+Saharsa!D7+Rohtas!D7+Purnia!D7+'Patna (U)'!D7+'Patna (R)'!D7+Nawada!D7+Nalanda!D7+Muzafferpur!D7+Munger!D7+Madhubani!D7+Madhepura!D7+Lakhisarai!D7+Kishanganj!D7+Khagaria!D7+Katihar!D7+Kaimur!D7+Jehanabad!D7+Jamui!D7+Gopalganj!D7+Gaya!D7+'East Champaran'!D7+Darbhanga!D7+Buxer!D7+Bhojpur!D7+Begusarai!D7+Bhagalpur!D7+Banka!D7+Aurangabad!D7+Arwal!D7+Araria!D7</f>
        <v>300</v>
      </c>
      <c r="E7" s="43" t="s">
        <v>19</v>
      </c>
      <c r="F7" s="32">
        <f>+'State Component'!F7+'West Champaran'!F7+Vaishali!F7+Supaul!F7+Siwan!F7+Sitamarhi!F7+Sheohar!F7+Sheikhpura!F7+Saran!F7+Samastipur!F7+Saharsa!F7+Rohtas!F7+Purnia!F7+'Patna (U)'!F7+'Patna (R)'!F7+Nawada!F7+Nalanda!F7+Muzafferpur!F7+Munger!F7+Madhubani!F7+Madhepura!F7+Lakhisarai!F7+Kishanganj!F7+Khagaria!F7+Katihar!F7+Kaimur!F7+Jehanabad!F7+Jamui!F7+Gopalganj!F7+Gaya!F7+'East Champaran'!F7+Darbhanga!F7+Buxer!F7+Bhojpur!F7+Bhagalpur!F7+Begusarai!F7+Banka!F7+Aurangabad!F7+Arwal!F7+Araria!F7</f>
        <v>0</v>
      </c>
      <c r="G7" s="304" t="s">
        <v>190</v>
      </c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6"/>
    </row>
    <row r="8" spans="1:21">
      <c r="A8" s="40"/>
      <c r="B8" s="15" t="s">
        <v>76</v>
      </c>
      <c r="C8" s="15" t="s">
        <v>42</v>
      </c>
      <c r="D8" s="16">
        <f>+'State Component'!D8+'West Champaran'!D8+Vaishali!D8+Supaul!D8+Siwan!D8+Sitamarhi!D8+Sheohar!D8+Sheikhpura!D8+Saran!D8+Samastipur!D8+Saharsa!D8+Rohtas!D8+Purnia!D8+'Patna (U)'!D8+'Patna (R)'!D8+Nawada!D8+Nalanda!D8+Muzafferpur!D8+Munger!D8+Madhubani!D8+Madhepura!D8+Lakhisarai!D8+Kishanganj!D8+Khagaria!D8+Katihar!D8+Kaimur!D8+Jehanabad!D8+Jamui!D8+Gopalganj!D8+Gaya!D8+'East Champaran'!D8+Darbhanga!D8+Buxer!D8+Bhojpur!D8+Begusarai!D8+Bhagalpur!D8+Banka!D8+Aurangabad!D8+Arwal!D8+Araria!D8</f>
        <v>300</v>
      </c>
      <c r="E8" s="43" t="s">
        <v>19</v>
      </c>
      <c r="F8" s="32">
        <f>+'State Component'!F8+'West Champaran'!F8+Vaishali!F8+Supaul!F8+Siwan!F8+Sitamarhi!F8+Sheohar!F8+Sheikhpura!F8+Saran!F8+Samastipur!F8+Saharsa!F8+Rohtas!F8+Purnia!F8+'Patna (U)'!F8+'Patna (R)'!F8+Nawada!F8+Nalanda!F8+Muzafferpur!F8+Munger!F8+Madhubani!F8+Madhepura!F8+Lakhisarai!F8+Kishanganj!F8+Khagaria!F8+Katihar!F8+Kaimur!F8+Jehanabad!F8+Jamui!F8+Gopalganj!F8+Gaya!F8+'East Champaran'!F8+Darbhanga!F8+Buxer!F8+Bhojpur!F8+Bhagalpur!F8+Begusarai!F8+Banka!F8+Aurangabad!F8+Arwal!F8+Araria!F8</f>
        <v>1963.5</v>
      </c>
      <c r="G8" s="30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308"/>
    </row>
    <row r="9" spans="1:21">
      <c r="A9" s="40"/>
      <c r="B9" s="15" t="s">
        <v>96</v>
      </c>
      <c r="C9" s="15" t="s">
        <v>42</v>
      </c>
      <c r="D9" s="16">
        <f>+'State Component'!D9+'West Champaran'!D9+Vaishali!D9+Supaul!D9+Siwan!D9+Sitamarhi!D9+Sheohar!D9+Sheikhpura!D9+Saran!D9+Samastipur!D9+Saharsa!D9+Rohtas!D9+Purnia!D9+'Patna (U)'!D9+'Patna (R)'!D9+Nawada!D9+Nalanda!D9+Muzafferpur!D9+Munger!D9+Madhubani!D9+Madhepura!D9+Lakhisarai!D9+Kishanganj!D9+Khagaria!D9+Katihar!D9+Kaimur!D9+Jehanabad!D9+Jamui!D9+Gopalganj!D9+Gaya!D9+'East Champaran'!D9+Darbhanga!D9+Buxer!D9+Bhojpur!D9+Begusarai!D9+Bhagalpur!D9+Banka!D9+Aurangabad!D9+Arwal!D9+Araria!D9</f>
        <v>300</v>
      </c>
      <c r="E9" s="43" t="s">
        <v>19</v>
      </c>
      <c r="F9" s="32">
        <f>+'State Component'!F9+'West Champaran'!F9+Vaishali!F9+Supaul!F9+Siwan!F9+Sitamarhi!F9+Sheohar!F9+Sheikhpura!F9+Saran!F9+Samastipur!F9+Saharsa!F9+Rohtas!F9+Purnia!F9+'Patna (U)'!F9+'Patna (R)'!F9+Nawada!F9+Nalanda!F9+Muzafferpur!F9+Munger!F9+Madhubani!F9+Madhepura!F9+Lakhisarai!F9+Kishanganj!F9+Khagaria!F9+Katihar!F9+Kaimur!F9+Jehanabad!F9+Jamui!F9+Gopalganj!F9+Gaya!F9+'East Champaran'!F9+Darbhanga!F9+Buxer!F9+Bhojpur!F9+Bhagalpur!F9+Begusarai!F9+Banka!F9+Aurangabad!F9+Arwal!F9+Araria!F9</f>
        <v>0</v>
      </c>
      <c r="G9" s="309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1"/>
    </row>
    <row r="10" spans="1:21" ht="15" customHeight="1">
      <c r="A10" s="261" t="s">
        <v>69</v>
      </c>
      <c r="B10" s="261"/>
      <c r="C10" s="40"/>
      <c r="D10" s="12">
        <v>200</v>
      </c>
      <c r="E10" s="40"/>
      <c r="F10" s="26">
        <f>SUM(F7:F9)</f>
        <v>1963.5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3"/>
      <c r="T10" s="3"/>
      <c r="U10" s="3"/>
    </row>
    <row r="11" spans="1:21">
      <c r="A11" s="40">
        <v>2</v>
      </c>
      <c r="B11" s="10" t="s">
        <v>131</v>
      </c>
      <c r="C11" s="40"/>
      <c r="D11" s="12"/>
      <c r="E11" s="40"/>
      <c r="F11" s="26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21" ht="15" customHeight="1">
      <c r="A12" s="286">
        <v>2.0099999999999998</v>
      </c>
      <c r="B12" s="37" t="s">
        <v>135</v>
      </c>
      <c r="C12" s="40"/>
      <c r="D12" s="12"/>
      <c r="E12" s="40"/>
      <c r="F12" s="26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21">
      <c r="A13" s="287"/>
      <c r="B13" s="15" t="s">
        <v>75</v>
      </c>
      <c r="C13" s="15" t="s">
        <v>42</v>
      </c>
      <c r="D13" s="16">
        <f>+'State Component'!D13+'West Champaran'!D13+Vaishali!D13+Supaul!D13+Siwan!D13+Sitamarhi!D13+Sheohar!D13+Sheikhpura!D13+Saran!D13+Samastipur!D13+Saharsa!D13+Rohtas!D13+Purnia!D13+'Patna (U)'!D13+'Patna (R)'!D13+Nawada!D13+Nalanda!D13+Muzafferpur!D13+Munger!D13+Madhubani!D13+Madhepura!D13+Lakhisarai!D13+Kishanganj!D13+Khagaria!D13+Katihar!D13+Kaimur!D13+Jehanabad!D13+Jamui!D13+Gopalganj!D13+Gaya!D13+'East Champaran'!D13+Darbhanga!D13+Buxer!D13+Bhojpur!D13+Begusarai!D13+Bhagalpur!D13+Banka!D13+Aurangabad!D13+Arwal!D13+Araria!D13</f>
        <v>280</v>
      </c>
      <c r="E13" s="43" t="s">
        <v>19</v>
      </c>
      <c r="F13" s="32">
        <f>+'State Component'!F13+'West Champaran'!F13+Vaishali!F13+Supaul!F13+Siwan!F13+Sitamarhi!F13+Sheohar!F13+Sheikhpura!F13+Saran!F13+Samastipur!F13+Saharsa!F13+Rohtas!F13+Purnia!F13+'Patna (U)'!F13+'Patna (R)'!F13+Nawada!F13+Nalanda!F13+Muzafferpur!F13+Munger!F13+Madhubani!F13+Madhepura!F13+Lakhisarai!F13+Kishanganj!F13+Khagaria!F13+Katihar!F13+Kaimur!F13+Jehanabad!F13+Jamui!F13+Gopalganj!F13+Gaya!F13+'East Champaran'!F13+Darbhanga!F13+Buxer!F13+Bhojpur!F13+Bhagalpur!F13+Begusarai!F13+Banka!F13+Aurangabad!F13+Arwal!F13+Araria!F13</f>
        <v>2.17</v>
      </c>
      <c r="G13" s="304" t="s">
        <v>190</v>
      </c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6"/>
    </row>
    <row r="14" spans="1:21">
      <c r="A14" s="287"/>
      <c r="B14" s="15" t="s">
        <v>76</v>
      </c>
      <c r="C14" s="15" t="s">
        <v>42</v>
      </c>
      <c r="D14" s="16">
        <f>+'State Component'!D14+'West Champaran'!D14+Vaishali!D14+Supaul!D14+Siwan!D14+Sitamarhi!D14+Sheohar!D14+Sheikhpura!D14+Saran!D14+Samastipur!D14+Saharsa!D14+Rohtas!D14+Purnia!D14+'Patna (U)'!D14+'Patna (R)'!D14+Nawada!D14+Nalanda!D14+Muzafferpur!D14+Munger!D14+Madhubani!D14+Madhepura!D14+Lakhisarai!D14+Kishanganj!D14+Khagaria!D14+Katihar!D14+Kaimur!D14+Jehanabad!D14+Jamui!D14+Gopalganj!D14+Gaya!D14+'East Champaran'!D14+Darbhanga!D14+Buxer!D14+Bhojpur!D14+Begusarai!D14+Bhagalpur!D14+Banka!D14+Aurangabad!D14+Arwal!D14+Araria!D14</f>
        <v>280</v>
      </c>
      <c r="E14" s="43" t="s">
        <v>19</v>
      </c>
      <c r="F14" s="32">
        <f>+'State Component'!F14+'West Champaran'!F14+Vaishali!F14+Supaul!F14+Siwan!F14+Sitamarhi!F14+Sheohar!F14+Sheikhpura!F14+Saran!F14+Samastipur!F14+Saharsa!F14+Rohtas!F14+Purnia!F14+'Patna (U)'!F14+'Patna (R)'!F14+Nawada!F14+Nalanda!F14+Muzafferpur!F14+Munger!F14+Madhubani!F14+Madhepura!F14+Lakhisarai!F14+Kishanganj!F14+Khagaria!F14+Katihar!F14+Kaimur!F14+Jehanabad!F14+Jamui!F14+Gopalganj!F14+Gaya!F14+'East Champaran'!F14+Darbhanga!F14+Buxer!F14+Bhojpur!F14+Bhagalpur!F14+Begusarai!F14+Banka!F14+Aurangabad!F14+Arwal!F14+Araria!F14</f>
        <v>31.41</v>
      </c>
      <c r="G14" s="30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308"/>
    </row>
    <row r="15" spans="1:21" ht="15" customHeight="1">
      <c r="A15" s="288"/>
      <c r="B15" s="15" t="s">
        <v>96</v>
      </c>
      <c r="C15" s="15" t="s">
        <v>42</v>
      </c>
      <c r="D15" s="16">
        <f>+'State Component'!D15+'West Champaran'!D15+Vaishali!D15+Supaul!D15+Siwan!D15+Sitamarhi!D15+Sheohar!D15+Sheikhpura!D15+Saran!D15+Samastipur!D15+Saharsa!D15+Rohtas!D15+Purnia!D15+'Patna (U)'!D15+'Patna (R)'!D15+Nawada!D15+Nalanda!D15+Muzafferpur!D15+Munger!D15+Madhubani!D15+Madhepura!D15+Lakhisarai!D15+Kishanganj!D15+Khagaria!D15+Katihar!D15+Kaimur!D15+Jehanabad!D15+Jamui!D15+Gopalganj!D15+Gaya!D15+'East Champaran'!D15+Darbhanga!D15+Buxer!D15+Bhojpur!D15+Begusarai!D15+Bhagalpur!D15+Banka!D15+Aurangabad!D15+Arwal!D15+Araria!D15</f>
        <v>280</v>
      </c>
      <c r="E15" s="43" t="s">
        <v>19</v>
      </c>
      <c r="F15" s="32">
        <f>+'State Component'!F15+'West Champaran'!F15+Vaishali!F15+Supaul!F15+Siwan!F15+Sitamarhi!F15+Sheohar!F15+Sheikhpura!F15+Saran!F15+Samastipur!F15+Saharsa!F15+Rohtas!F15+Purnia!F15+'Patna (U)'!F15+'Patna (R)'!F15+Nawada!F15+Nalanda!F15+Muzafferpur!F15+Munger!F15+Madhubani!F15+Madhepura!F15+Lakhisarai!F15+Kishanganj!F15+Khagaria!F15+Katihar!F15+Kaimur!F15+Jehanabad!F15+Jamui!F15+Gopalganj!F15+Gaya!F15+'East Champaran'!F15+Darbhanga!F15+Buxer!F15+Bhojpur!F15+Bhagalpur!F15+Begusarai!F15+Banka!F15+Aurangabad!F15+Arwal!F15+Araria!F15</f>
        <v>1.4</v>
      </c>
      <c r="G15" s="309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1"/>
    </row>
    <row r="16" spans="1:21" ht="25.5">
      <c r="A16" s="286">
        <v>2.02</v>
      </c>
      <c r="B16" s="37" t="s">
        <v>143</v>
      </c>
      <c r="C16" s="40"/>
      <c r="D16" s="12"/>
      <c r="E16" s="40"/>
      <c r="F16" s="26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ht="15" customHeight="1">
      <c r="A17" s="287"/>
      <c r="B17" s="15" t="s">
        <v>75</v>
      </c>
      <c r="C17" s="15" t="s">
        <v>42</v>
      </c>
      <c r="D17" s="16">
        <f>+'State Component'!D17+'West Champaran'!D17+Vaishali!D17+Supaul!D17+Siwan!D17+Sitamarhi!D17+Sheohar!D17+Sheikhpura!D17+Saran!D17+Samastipur!D17+Saharsa!D17+Rohtas!D17+Purnia!D17+'Patna (U)'!D17+'Patna (R)'!D17+Nawada!D17+Nalanda!D17+Muzafferpur!D17+Munger!D17+Madhubani!D17+Madhepura!D17+Lakhisarai!D17+Kishanganj!D17+Khagaria!D17+Katihar!D17+Kaimur!D17+Jehanabad!D17+Jamui!D17+Gopalganj!D17+Gaya!D17+'East Champaran'!D17+Darbhanga!D17+Buxer!D17+Bhojpur!D17+Begusarai!D17+Bhagalpur!D17+Banka!D17+Aurangabad!D17+Arwal!D17+Araria!D17</f>
        <v>28946</v>
      </c>
      <c r="E17" s="43" t="s">
        <v>19</v>
      </c>
      <c r="F17" s="32">
        <f>+'State Component'!F17+'West Champaran'!F17+Vaishali!F17+Supaul!F17+Siwan!F17+Sitamarhi!F17+Sheohar!F17+Sheikhpura!F17+Saran!F17+Samastipur!F17+Saharsa!F17+Rohtas!F17+Purnia!F17+'Patna (U)'!F17+'Patna (R)'!F17+Nawada!F17+Nalanda!F17+Muzafferpur!F17+Munger!F17+Madhubani!F17+Madhepura!F17+Lakhisarai!F17+Kishanganj!F17+Khagaria!F17+Katihar!F17+Kaimur!F17+Jehanabad!F17+Jamui!F17+Gopalganj!F17+Gaya!F17+'East Champaran'!F17+Darbhanga!F17+Buxer!F17+Bhojpur!F17+Bhagalpur!F17+Begusarai!F17+Banka!F17+Aurangabad!F17+Arwal!F17+Araria!F17</f>
        <v>224.33150000000003</v>
      </c>
      <c r="G17" s="304" t="s">
        <v>190</v>
      </c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6"/>
    </row>
    <row r="18" spans="1:18">
      <c r="A18" s="287"/>
      <c r="B18" s="15" t="s">
        <v>76</v>
      </c>
      <c r="C18" s="15" t="s">
        <v>42</v>
      </c>
      <c r="D18" s="16">
        <f>+'State Component'!D18+'West Champaran'!D18+Vaishali!D18+Supaul!D18+Siwan!D18+Sitamarhi!D18+Sheohar!D18+Sheikhpura!D18+Saran!D18+Samastipur!D18+Saharsa!D18+Rohtas!D18+Purnia!D18+'Patna (U)'!D18+'Patna (R)'!D18+Nawada!D18+Nalanda!D18+Muzafferpur!D18+Munger!D18+Madhubani!D18+Madhepura!D18+Lakhisarai!D18+Kishanganj!D18+Khagaria!D18+Katihar!D18+Kaimur!D18+Jehanabad!D18+Jamui!D18+Gopalganj!D18+Gaya!D18+'East Champaran'!D18+Darbhanga!D18+Buxer!D18+Bhojpur!D18+Begusarai!D18+Bhagalpur!D18+Banka!D18+Aurangabad!D18+Arwal!D18+Araria!D18</f>
        <v>28946</v>
      </c>
      <c r="E18" s="43" t="s">
        <v>19</v>
      </c>
      <c r="F18" s="32">
        <f>+'State Component'!F18+'West Champaran'!F18+Vaishali!F18+Supaul!F18+Siwan!F18+Sitamarhi!F18+Sheohar!F18+Sheikhpura!F18+Saran!F18+Samastipur!F18+Saharsa!F18+Rohtas!F18+Purnia!F18+'Patna (U)'!F18+'Patna (R)'!F18+Nawada!F18+Nalanda!F18+Muzafferpur!F18+Munger!F18+Madhubani!F18+Madhepura!F18+Lakhisarai!F18+Kishanganj!F18+Khagaria!F18+Katihar!F18+Kaimur!F18+Jehanabad!F18+Jamui!F18+Gopalganj!F18+Gaya!F18+'East Champaran'!F18+Darbhanga!F18+Buxer!F18+Bhojpur!F18+Bhagalpur!F18+Begusarai!F18+Banka!F18+Aurangabad!F18+Arwal!F18+Araria!F18</f>
        <v>3247.7411999999995</v>
      </c>
      <c r="G18" s="30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308"/>
    </row>
    <row r="19" spans="1:18" ht="15" customHeight="1">
      <c r="A19" s="288"/>
      <c r="B19" s="15" t="s">
        <v>96</v>
      </c>
      <c r="C19" s="15" t="s">
        <v>42</v>
      </c>
      <c r="D19" s="16">
        <f>+'State Component'!D19+'West Champaran'!D19+Vaishali!D19+Supaul!D19+Siwan!D19+Sitamarhi!D19+Sheohar!D19+Sheikhpura!D19+Saran!D19+Samastipur!D19+Saharsa!D19+Rohtas!D19+Purnia!D19+'Patna (U)'!D19+'Patna (R)'!D19+Nawada!D19+Nalanda!D19+Muzafferpur!D19+Munger!D19+Madhubani!D19+Madhepura!D19+Lakhisarai!D19+Kishanganj!D19+Khagaria!D19+Katihar!D19+Kaimur!D19+Jehanabad!D19+Jamui!D19+Gopalganj!D19+Gaya!D19+'East Champaran'!D19+Darbhanga!D19+Buxer!D19+Bhojpur!D19+Begusarai!D19+Bhagalpur!D19+Banka!D19+Aurangabad!D19+Arwal!D19+Araria!D19</f>
        <v>28946</v>
      </c>
      <c r="E19" s="43" t="s">
        <v>19</v>
      </c>
      <c r="F19" s="32">
        <f>+'State Component'!F19+'West Champaran'!F19+Vaishali!F19+Supaul!F19+Siwan!F19+Sitamarhi!F19+Sheohar!F19+Sheikhpura!F19+Saran!F19+Samastipur!F19+Saharsa!F19+Rohtas!F19+Purnia!F19+'Patna (U)'!F19+'Patna (R)'!F19+Nawada!F19+Nalanda!F19+Muzafferpur!F19+Munger!F19+Madhubani!F19+Madhepura!F19+Lakhisarai!F19+Kishanganj!F19+Khagaria!F19+Katihar!F19+Kaimur!F19+Jehanabad!F19+Jamui!F19+Gopalganj!F19+Gaya!F19+'East Champaran'!F19+Darbhanga!F19+Buxer!F19+Bhojpur!F19+Bhagalpur!F19+Begusarai!F19+Banka!F19+Aurangabad!F19+Arwal!F19+Araria!F19</f>
        <v>144.73000000000002</v>
      </c>
      <c r="G19" s="309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1"/>
    </row>
    <row r="20" spans="1:18" ht="25.5">
      <c r="A20" s="286">
        <v>2.0299999999999998</v>
      </c>
      <c r="B20" s="37" t="s">
        <v>134</v>
      </c>
      <c r="C20" s="40"/>
      <c r="D20" s="12"/>
      <c r="E20" s="40"/>
      <c r="F20" s="26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>
      <c r="A21" s="287"/>
      <c r="B21" s="15" t="s">
        <v>75</v>
      </c>
      <c r="C21" s="15" t="s">
        <v>42</v>
      </c>
      <c r="D21" s="16">
        <f>+'State Component'!D21+'West Champaran'!D21+Vaishali!D21+Supaul!D21+Siwan!D21+Sitamarhi!D21+Sheohar!D21+Sheikhpura!D21+Saran!D21+Samastipur!D21+Saharsa!D21+Rohtas!D21+Purnia!D21+'Patna (U)'!D21+'Patna (R)'!D21+Nawada!D21+Nalanda!D21+Muzafferpur!D21+Munger!D21+Madhubani!D21+Madhepura!D21+Lakhisarai!D21+Kishanganj!D21+Khagaria!D21+Katihar!D21+Kaimur!D21+Jehanabad!D21+Jamui!D21+Gopalganj!D21+Gaya!D21+'East Champaran'!D21+Darbhanga!D21+Buxer!D21+Bhojpur!D21+Begusarai!D21+Bhagalpur!D21+Banka!D21+Aurangabad!D21+Arwal!D21+Araria!D21</f>
        <v>7172</v>
      </c>
      <c r="E21" s="43" t="s">
        <v>19</v>
      </c>
      <c r="F21" s="32">
        <f>+'State Component'!F21+'West Champaran'!F21+Vaishali!F21+Supaul!F21+Siwan!F21+Sitamarhi!F21+Sheohar!F21+Sheikhpura!F21+Saran!F21+Samastipur!F21+Saharsa!F21+Rohtas!F21+Purnia!F21+'Patna (U)'!F21+'Patna (R)'!F21+Nawada!F21+Nalanda!F21+Muzafferpur!F21+Munger!F21+Madhubani!F21+Madhepura!F21+Lakhisarai!F21+Kishanganj!F21+Khagaria!F21+Katihar!F21+Kaimur!F21+Jehanabad!F21+Jamui!F21+Gopalganj!F21+Gaya!F21+'East Champaran'!F21+Darbhanga!F21+Buxer!F21+Bhojpur!F21+Bhagalpur!F21+Begusarai!F21+Banka!F21+Aurangabad!F21+Arwal!F21+Araria!F21</f>
        <v>41.217749999999995</v>
      </c>
      <c r="G21" s="304" t="s">
        <v>190</v>
      </c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6"/>
    </row>
    <row r="22" spans="1:18">
      <c r="A22" s="287"/>
      <c r="B22" s="15" t="s">
        <v>76</v>
      </c>
      <c r="C22" s="15" t="s">
        <v>42</v>
      </c>
      <c r="D22" s="16">
        <f>+'State Component'!D22+'West Champaran'!D22+Vaishali!D22+Supaul!D22+Siwan!D22+Sitamarhi!D22+Sheohar!D22+Sheikhpura!D22+Saran!D22+Samastipur!D22+Saharsa!D22+Rohtas!D22+Purnia!D22+'Patna (U)'!D22+'Patna (R)'!D22+Nawada!D22+Nalanda!D22+Muzafferpur!D22+Munger!D22+Madhubani!D22+Madhepura!D22+Lakhisarai!D22+Kishanganj!D22+Khagaria!D22+Katihar!D22+Kaimur!D22+Jehanabad!D22+Jamui!D22+Gopalganj!D22+Gaya!D22+'East Champaran'!D22+Darbhanga!D22+Buxer!D22+Bhojpur!D22+Begusarai!D22+Bhagalpur!D22+Banka!D22+Aurangabad!D22+Arwal!D22+Araria!D22</f>
        <v>7172</v>
      </c>
      <c r="E22" s="43" t="s">
        <v>19</v>
      </c>
      <c r="F22" s="32">
        <f>+'State Component'!F22+'West Champaran'!F22+Vaishali!F22+Supaul!F22+Siwan!F22+Sitamarhi!F22+Sheohar!F22+Sheikhpura!F22+Saran!F22+Samastipur!F22+Saharsa!F22+Rohtas!F22+Purnia!F22+'Patna (U)'!F22+'Patna (R)'!F22+Nawada!F22+Nalanda!F22+Muzafferpur!F22+Munger!F22+Madhubani!F22+Madhepura!F22+Lakhisarai!F22+Kishanganj!F22+Khagaria!F22+Katihar!F22+Kaimur!F22+Jehanabad!F22+Jamui!F22+Gopalganj!F22+Gaya!F22+'East Champaran'!F22+Darbhanga!F22+Buxer!F22+Bhojpur!F22+Bhagalpur!F22+Begusarai!F22+Banka!F22+Aurangabad!F22+Arwal!F22+Araria!F22</f>
        <v>536.45760000000007</v>
      </c>
      <c r="G22" s="30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308"/>
    </row>
    <row r="23" spans="1:18" ht="15" customHeight="1">
      <c r="A23" s="288"/>
      <c r="B23" s="15" t="s">
        <v>96</v>
      </c>
      <c r="C23" s="15" t="s">
        <v>42</v>
      </c>
      <c r="D23" s="16">
        <f>+'State Component'!D23+'West Champaran'!D23+Vaishali!D23+Supaul!D23+Siwan!D23+Sitamarhi!D23+Sheohar!D23+Sheikhpura!D23+Saran!D23+Samastipur!D23+Saharsa!D23+Rohtas!D23+Purnia!D23+'Patna (U)'!D23+'Patna (R)'!D23+Nawada!D23+Nalanda!D23+Muzafferpur!D23+Munger!D23+Madhubani!D23+Madhepura!D23+Lakhisarai!D23+Kishanganj!D23+Khagaria!D23+Katihar!D23+Kaimur!D23+Jehanabad!D23+Jamui!D23+Gopalganj!D23+Gaya!D23+'East Champaran'!D23+Darbhanga!D23+Buxer!D23+Bhojpur!D23+Begusarai!D23+Bhagalpur!D23+Banka!D23+Aurangabad!D23+Arwal!D23+Araria!D23</f>
        <v>7172</v>
      </c>
      <c r="E23" s="43" t="s">
        <v>19</v>
      </c>
      <c r="F23" s="32">
        <f>+'State Component'!F23+'West Champaran'!F23+Vaishali!F23+Supaul!F23+Siwan!F23+Sitamarhi!F23+Sheohar!F23+Sheikhpura!F23+Saran!F23+Samastipur!F23+Saharsa!F23+Rohtas!F23+Purnia!F23+'Patna (U)'!F23+'Patna (R)'!F23+Nawada!F23+Nalanda!F23+Muzafferpur!F23+Munger!F23+Madhubani!F23+Madhepura!F23+Lakhisarai!F23+Kishanganj!F23+Khagaria!F23+Katihar!F23+Kaimur!F23+Jehanabad!F23+Jamui!F23+Gopalganj!F23+Gaya!F23+'East Champaran'!F23+Darbhanga!F23+Buxer!F23+Bhojpur!F23+Bhagalpur!F23+Begusarai!F23+Banka!F23+Aurangabad!F23+Arwal!F23+Araria!F23</f>
        <v>41.314999999999998</v>
      </c>
      <c r="G23" s="309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1"/>
    </row>
    <row r="24" spans="1:18">
      <c r="A24" s="264" t="s">
        <v>158</v>
      </c>
      <c r="B24" s="266"/>
      <c r="C24" s="15"/>
      <c r="D24" s="12">
        <f>+D23+D19+D15</f>
        <v>36398</v>
      </c>
      <c r="E24" s="43"/>
      <c r="F24" s="57">
        <f>SUM(F13:F23)</f>
        <v>4270.7730499999989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ht="25.5">
      <c r="A25" s="286">
        <v>2.04</v>
      </c>
      <c r="B25" s="37" t="s">
        <v>136</v>
      </c>
      <c r="C25" s="40"/>
      <c r="D25" s="12"/>
      <c r="E25" s="40"/>
      <c r="F25" s="26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>
      <c r="A26" s="287"/>
      <c r="B26" s="15" t="s">
        <v>75</v>
      </c>
      <c r="C26" s="15" t="s">
        <v>42</v>
      </c>
      <c r="D26" s="16">
        <f>+'State Component'!D26+'West Champaran'!D26+Vaishali!D26+Supaul!D26+Siwan!D26+Sitamarhi!D26+Sheohar!D26+Sheikhpura!D26+Saran!D26+Samastipur!D26+Saharsa!D26+Rohtas!D26+Purnia!D26+'Patna (U)'!D26+'Patna (R)'!D26+Nawada!D26+Nalanda!D26+Muzafferpur!D26+Munger!D26+Madhubani!D26+Madhepura!D26+Lakhisarai!D26+Kishanganj!D26+Khagaria!D26+Katihar!D26+Kaimur!D26+Jehanabad!D26+Jamui!D26+Gopalganj!D26+Gaya!D26+'East Champaran'!D26+Darbhanga!D26+Buxer!D26+Bhojpur!D26+Begusarai!D26+Bhagalpur!D26+Banka!D26+Aurangabad!D26+Arwal!D26+Araria!D26</f>
        <v>0</v>
      </c>
      <c r="E26" s="43" t="s">
        <v>19</v>
      </c>
      <c r="F26" s="26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>
      <c r="A27" s="287"/>
      <c r="B27" s="15" t="s">
        <v>76</v>
      </c>
      <c r="C27" s="15" t="s">
        <v>42</v>
      </c>
      <c r="D27" s="16">
        <f>+'State Component'!D27+'West Champaran'!D27+Vaishali!D27+Supaul!D27+Siwan!D27+Sitamarhi!D27+Sheohar!D27+Sheikhpura!D27+Saran!D27+Samastipur!D27+Saharsa!D27+Rohtas!D27+Purnia!D27+'Patna (U)'!D27+'Patna (R)'!D27+Nawada!D27+Nalanda!D27+Muzafferpur!D27+Munger!D27+Madhubani!D27+Madhepura!D27+Lakhisarai!D27+Kishanganj!D27+Khagaria!D27+Katihar!D27+Kaimur!D27+Jehanabad!D27+Jamui!D27+Gopalganj!D27+Gaya!D27+'East Champaran'!D27+Darbhanga!D27+Buxer!D27+Bhojpur!D27+Begusarai!D27+Bhagalpur!D27+Banka!D27+Aurangabad!D27+Arwal!D27+Araria!D27</f>
        <v>0</v>
      </c>
      <c r="E27" s="43" t="s">
        <v>19</v>
      </c>
      <c r="F27" s="32">
        <f>+'State Component'!F27+'West Champaran'!F27+Vaishali!F27+Supaul!F27+Siwan!F27+Sitamarhi!F27+Sheohar!F27+Sheikhpura!F27+Saran!F27+Samastipur!F27+Saharsa!F27+Rohtas!F27+Purnia!F27+'Patna (U)'!F27+'Patna (R)'!F27+Nawada!F27+Nalanda!F27+Muzafferpur!F27+Munger!F27+Madhubani!F27+Madhepura!F27+Lakhisarai!F27+Kishanganj!F27+Khagaria!F27+Katihar!F27+Kaimur!F27+Jehanabad!F27+Jamui!F27+Gopalganj!F27+Gaya!F27+'East Champaran'!F27+Darbhanga!F27+Buxer!F27+Bhojpur!F27+Bhagalpur!F27+Begusarai!F27+Banka!F27+Aurangabad!F27+Arwal!F27+Araria!F27</f>
        <v>0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>
      <c r="A28" s="288"/>
      <c r="B28" s="15" t="s">
        <v>96</v>
      </c>
      <c r="C28" s="15" t="s">
        <v>42</v>
      </c>
      <c r="D28" s="16">
        <f>+'State Component'!D28+'West Champaran'!D28+Vaishali!D28+Supaul!D28+Siwan!D28+Sitamarhi!D28+Sheohar!D28+Sheikhpura!D28+Saran!D28+Samastipur!D28+Saharsa!D28+Rohtas!D28+Purnia!D28+'Patna (U)'!D28+'Patna (R)'!D28+Nawada!D28+Nalanda!D28+Muzafferpur!D28+Munger!D28+Madhubani!D28+Madhepura!D28+Lakhisarai!D28+Kishanganj!D28+Khagaria!D28+Katihar!D28+Kaimur!D28+Jehanabad!D28+Jamui!D28+Gopalganj!D28+Gaya!D28+'East Champaran'!D28+Darbhanga!D28+Buxer!D28+Bhojpur!D28+Begusarai!D28+Bhagalpur!D28+Banka!D28+Aurangabad!D28+Arwal!D28+Araria!D28</f>
        <v>0</v>
      </c>
      <c r="E28" s="43" t="s">
        <v>19</v>
      </c>
      <c r="F28" s="32">
        <f>+'State Component'!F28+'West Champaran'!F28+Vaishali!F28+Supaul!F28+Siwan!F28+Sitamarhi!F28+Sheohar!F28+Sheikhpura!F28+Saran!F28+Samastipur!F28+Saharsa!F28+Rohtas!F28+Purnia!F28+'Patna (U)'!F28+'Patna (R)'!F28+Nawada!F28+Nalanda!F28+Muzafferpur!F28+Munger!F28+Madhubani!F28+Madhepura!F28+Lakhisarai!F28+Kishanganj!F28+Khagaria!F28+Katihar!F28+Kaimur!F28+Jehanabad!F28+Jamui!F28+Gopalganj!F28+Gaya!F28+'East Champaran'!F28+Darbhanga!F28+Buxer!F28+Bhojpur!F28+Bhagalpur!F28+Begusarai!F28+Banka!F28+Aurangabad!F28+Arwal!F28+Araria!F28</f>
        <v>0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ht="25.5">
      <c r="A29" s="286">
        <v>2.0499999999999998</v>
      </c>
      <c r="B29" s="37" t="s">
        <v>132</v>
      </c>
      <c r="C29" s="4"/>
      <c r="D29" s="43"/>
      <c r="E29" s="43"/>
      <c r="F29" s="26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ht="25.5" customHeight="1">
      <c r="A30" s="287"/>
      <c r="B30" s="15" t="s">
        <v>75</v>
      </c>
      <c r="C30" s="15" t="s">
        <v>42</v>
      </c>
      <c r="D30" s="16">
        <f>+'State Component'!D30+'West Champaran'!D30+Vaishali!D30+Supaul!D30+Siwan!D30+Sitamarhi!D30+Sheohar!D30+Sheikhpura!D30+Saran!D30+Samastipur!D30+Saharsa!D30+Rohtas!D30+Purnia!D30+'Patna (U)'!D30+'Patna (R)'!D30+Nawada!D30+Nalanda!D30+Muzafferpur!D30+Munger!D30+Madhubani!D30+Madhepura!D30+Lakhisarai!D30+Kishanganj!D30+Khagaria!D30+Katihar!D30+Kaimur!D30+Jehanabad!D30+Jamui!D30+Gopalganj!D30+Gaya!D30+'East Champaran'!D30+Darbhanga!D30+Buxer!D30+Bhojpur!D30+Begusarai!D30+Bhagalpur!D30+Banka!D30+Aurangabad!D30+Arwal!D30+Araria!D30</f>
        <v>2950</v>
      </c>
      <c r="E30" s="43" t="s">
        <v>19</v>
      </c>
      <c r="F30" s="32">
        <f>+'State Component'!F30+'West Champaran'!F30+Vaishali!F30+Supaul!F30+Siwan!F30+Sitamarhi!F30+Sheohar!F30+Sheikhpura!F30+Saran!F30+Samastipur!F30+Saharsa!F30+Rohtas!F30+Purnia!F30+'Patna (U)'!F30+'Patna (R)'!F30+Nawada!F30+Nalanda!F30+Muzafferpur!F30+Munger!F30+Madhubani!F30+Madhepura!F30+Lakhisarai!F30+Kishanganj!F30+Khagaria!F30+Katihar!F30+Kaimur!F30+Jehanabad!F30+Jamui!F30+Gopalganj!F30+Gaya!F30+'East Champaran'!F30+Darbhanga!F30+Buxer!F30+Bhojpur!F30+Bhagalpur!F30+Begusarai!F30+Banka!F30+Aurangabad!F30+Arwal!F30+Araria!F30</f>
        <v>22.862499999999997</v>
      </c>
      <c r="G30" s="304" t="s">
        <v>190</v>
      </c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6"/>
    </row>
    <row r="31" spans="1:18" ht="29.25" customHeight="1">
      <c r="A31" s="287"/>
      <c r="B31" s="15" t="s">
        <v>76</v>
      </c>
      <c r="C31" s="15" t="s">
        <v>42</v>
      </c>
      <c r="D31" s="16">
        <f>+'State Component'!D31+'West Champaran'!D31+Vaishali!D31+Supaul!D31+Siwan!D31+Sitamarhi!D31+Sheohar!D31+Sheikhpura!D31+Saran!D31+Samastipur!D31+Saharsa!D31+Rohtas!D31+Purnia!D31+'Patna (U)'!D31+'Patna (R)'!D31+Nawada!D31+Nalanda!D31+Muzafferpur!D31+Munger!D31+Madhubani!D31+Madhepura!D31+Lakhisarai!D31+Kishanganj!D31+Khagaria!D31+Katihar!D31+Kaimur!D31+Jehanabad!D31+Jamui!D31+Gopalganj!D31+Gaya!D31+'East Champaran'!D31+Darbhanga!D31+Buxer!D31+Bhojpur!D31+Begusarai!D31+Bhagalpur!D31+Banka!D31+Aurangabad!D31+Arwal!D31+Araria!D31</f>
        <v>2950</v>
      </c>
      <c r="E31" s="43" t="s">
        <v>19</v>
      </c>
      <c r="F31" s="32">
        <f>+'State Component'!F31+'West Champaran'!F31+Vaishali!F31+Supaul!F31+Siwan!F31+Sitamarhi!F31+Sheohar!F31+Sheikhpura!F31+Saran!F31+Samastipur!F31+Saharsa!F31+Rohtas!F31+Purnia!F31+'Patna (U)'!F31+'Patna (R)'!F31+Nawada!F31+Nalanda!F31+Muzafferpur!F31+Munger!F31+Madhubani!F31+Madhepura!F31+Lakhisarai!F31+Kishanganj!F31+Khagaria!F31+Katihar!F31+Kaimur!F31+Jehanabad!F31+Jamui!F31+Gopalganj!F31+Gaya!F31+'East Champaran'!F31+Darbhanga!F31+Buxer!F31+Bhojpur!F31+Bhagalpur!F31+Begusarai!F31+Banka!F31+Aurangabad!F31+Arwal!F31+Araria!F31</f>
        <v>330.99000000000007</v>
      </c>
      <c r="G31" s="30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308"/>
    </row>
    <row r="32" spans="1:18" ht="25.5" customHeight="1">
      <c r="A32" s="288"/>
      <c r="B32" s="15" t="s">
        <v>96</v>
      </c>
      <c r="C32" s="15" t="s">
        <v>42</v>
      </c>
      <c r="D32" s="16">
        <f>+'State Component'!D32+'West Champaran'!D32+Vaishali!D32+Supaul!D32+Siwan!D32+Sitamarhi!D32+Sheohar!D32+Sheikhpura!D32+Saran!D32+Samastipur!D32+Saharsa!D32+Rohtas!D32+Purnia!D32+'Patna (U)'!D32+'Patna (R)'!D32+Nawada!D32+Nalanda!D32+Muzafferpur!D32+Munger!D32+Madhubani!D32+Madhepura!D32+Lakhisarai!D32+Kishanganj!D32+Khagaria!D32+Katihar!D32+Kaimur!D32+Jehanabad!D32+Jamui!D32+Gopalganj!D32+Gaya!D32+'East Champaran'!D32+Darbhanga!D32+Buxer!D32+Bhojpur!D32+Begusarai!D32+Bhagalpur!D32+Banka!D32+Aurangabad!D32+Arwal!D32+Araria!D32</f>
        <v>2950</v>
      </c>
      <c r="E32" s="43" t="s">
        <v>19</v>
      </c>
      <c r="F32" s="32">
        <f>+'State Component'!F32+'West Champaran'!F32+Vaishali!F32+Supaul!F32+Siwan!F32+Sitamarhi!F32+Sheohar!F32+Sheikhpura!F32+Saran!F32+Samastipur!F32+Saharsa!F32+Rohtas!F32+Purnia!F32+'Patna (U)'!F32+'Patna (R)'!F32+Nawada!F32+Nalanda!F32+Muzafferpur!F32+Munger!F32+Madhubani!F32+Madhepura!F32+Lakhisarai!F32+Kishanganj!F32+Khagaria!F32+Katihar!F32+Kaimur!F32+Jehanabad!F32+Jamui!F32+Gopalganj!F32+Gaya!F32+'East Champaran'!F32+Darbhanga!F32+Buxer!F32+Bhojpur!F32+Bhagalpur!F32+Begusarai!F32+Banka!F32+Aurangabad!F32+Arwal!F32+Araria!F32</f>
        <v>14.75</v>
      </c>
      <c r="G32" s="309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1"/>
    </row>
    <row r="33" spans="1:21" ht="34.5" customHeight="1">
      <c r="A33" s="286">
        <v>2.06</v>
      </c>
      <c r="B33" s="37" t="s">
        <v>133</v>
      </c>
      <c r="C33" s="40"/>
      <c r="D33" s="12"/>
      <c r="E33" s="40"/>
      <c r="F33" s="26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ht="30" customHeight="1">
      <c r="A34" s="287"/>
      <c r="B34" s="15" t="s">
        <v>75</v>
      </c>
      <c r="C34" s="15" t="s">
        <v>42</v>
      </c>
      <c r="D34" s="16">
        <f>+'State Component'!D34+'West Champaran'!D34+Vaishali!D34+Supaul!D34+Siwan!D34+Sitamarhi!D34+Sheohar!D34+Sheikhpura!D34+Saran!D34+Samastipur!D34+Saharsa!D34+Rohtas!D34+Purnia!D34+'Patna (U)'!D34+'Patna (R)'!D34+Nawada!D34+Nalanda!D34+Muzafferpur!D34+Munger!D34+Madhubani!D34+Madhepura!D34+Lakhisarai!D34+Kishanganj!D34+Khagaria!D34+Katihar!D34+Kaimur!D34+Jehanabad!D34+Jamui!D34+Gopalganj!D34+Gaya!D34+'East Champaran'!D34+Darbhanga!D34+Buxer!D34+Bhojpur!D34+Begusarai!D34+Bhagalpur!D34+Banka!D34+Aurangabad!D34+Arwal!D34+Araria!D34</f>
        <v>16099</v>
      </c>
      <c r="E34" s="43" t="s">
        <v>19</v>
      </c>
      <c r="F34" s="32">
        <f>+'State Component'!F34+'West Champaran'!F34+Vaishali!F34+Supaul!F34+Siwan!F34+Sitamarhi!F34+Sheohar!F34+Sheikhpura!F34+Saran!F34+Samastipur!F34+Saharsa!F34+Rohtas!F34+Purnia!F34+'Patna (U)'!F34+'Patna (R)'!F34+Nawada!F34+Nalanda!F34+Muzafferpur!F34+Munger!F34+Madhubani!F34+Madhepura!F34+Lakhisarai!F34+Kishanganj!F34+Khagaria!F34+Katihar!F34+Kaimur!F34+Jehanabad!F34+Jamui!F34+Gopalganj!F34+Gaya!F34+'East Champaran'!F34+Darbhanga!F34+Buxer!F34+Bhojpur!F34+Bhagalpur!F34+Begusarai!F34+Banka!F34+Aurangabad!F34+Arwal!F34+Araria!F34</f>
        <v>165.84125</v>
      </c>
      <c r="G34" s="304" t="s">
        <v>190</v>
      </c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6"/>
    </row>
    <row r="35" spans="1:21" ht="25.5" customHeight="1">
      <c r="A35" s="287"/>
      <c r="B35" s="15" t="s">
        <v>76</v>
      </c>
      <c r="C35" s="15" t="s">
        <v>42</v>
      </c>
      <c r="D35" s="16">
        <f>+'State Component'!D35+'West Champaran'!D35+Vaishali!D35+Supaul!D35+Siwan!D35+Sitamarhi!D35+Sheohar!D35+Sheikhpura!D35+Saran!D35+Samastipur!D35+Saharsa!D35+Rohtas!D35+Purnia!D35+'Patna (U)'!D35+'Patna (R)'!D35+Nawada!D35+Nalanda!D35+Muzafferpur!D35+Munger!D35+Madhubani!D35+Madhepura!D35+Lakhisarai!D35+Kishanganj!D35+Khagaria!D35+Katihar!D35+Kaimur!D35+Jehanabad!D35+Jamui!D35+Gopalganj!D35+Gaya!D35+'East Champaran'!D35+Darbhanga!D35+Buxer!D35+Bhojpur!D35+Begusarai!D35+Bhagalpur!D35+Banka!D35+Aurangabad!D35+Arwal!D35+Araria!D35</f>
        <v>14949</v>
      </c>
      <c r="E35" s="43" t="s">
        <v>19</v>
      </c>
      <c r="F35" s="32">
        <f>+'State Component'!F35+'West Champaran'!F35+Vaishali!F35+Supaul!F35+Siwan!F35+Sitamarhi!F35+Sheohar!F35+Sheikhpura!F35+Saran!F35+Samastipur!F35+Saharsa!F35+Rohtas!F35+Purnia!F35+'Patna (U)'!F35+'Patna (R)'!F35+Nawada!F35+Nalanda!F35+Muzafferpur!F35+Munger!F35+Madhubani!F35+Madhepura!F35+Lakhisarai!F35+Kishanganj!F35+Khagaria!F35+Katihar!F35+Kaimur!F35+Jehanabad!F35+Jamui!F35+Gopalganj!F35+Gaya!F35+'East Champaran'!F35+Darbhanga!F35+Buxer!F35+Bhojpur!F35+Bhagalpur!F35+Begusarai!F35+Banka!F35+Aurangabad!F35+Arwal!F35+Araria!F35</f>
        <v>1118.1672000000001</v>
      </c>
      <c r="G35" s="30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308"/>
    </row>
    <row r="36" spans="1:21" ht="34.5" customHeight="1">
      <c r="A36" s="288"/>
      <c r="B36" s="15" t="s">
        <v>96</v>
      </c>
      <c r="C36" s="15" t="s">
        <v>42</v>
      </c>
      <c r="D36" s="16">
        <f>+'State Component'!D36+'West Champaran'!D36+Vaishali!D36+Supaul!D36+Siwan!D36+Sitamarhi!D36+Sheohar!D36+Sheikhpura!D36+Saran!D36+Samastipur!D36+Saharsa!D36+Rohtas!D36+Purnia!D36+'Patna (U)'!D36+'Patna (R)'!D36+Nawada!D36+Nalanda!D36+Muzafferpur!D36+Munger!D36+Madhubani!D36+Madhepura!D36+Lakhisarai!D36+Kishanganj!D36+Khagaria!D36+Katihar!D36+Kaimur!D36+Jehanabad!D36+Jamui!D36+Gopalganj!D36+Gaya!D36+'East Champaran'!D36+Darbhanga!D36+Buxer!D36+Bhojpur!D36+Begusarai!D36+Bhagalpur!D36+Banka!D36+Aurangabad!D36+Arwal!D36+Araria!D36</f>
        <v>14949</v>
      </c>
      <c r="E36" s="43" t="s">
        <v>19</v>
      </c>
      <c r="F36" s="32">
        <f>+'State Component'!F36+'West Champaran'!F36+Vaishali!F36+Supaul!F36+Siwan!F36+Sitamarhi!F36+Sheohar!F36+Sheikhpura!F36+Saran!F36+Samastipur!F36+Saharsa!F36+Rohtas!F36+Purnia!F36+'Patna (U)'!F36+'Patna (R)'!F36+Nawada!F36+Nalanda!F36+Muzafferpur!F36+Munger!F36+Madhubani!F36+Madhepura!F36+Lakhisarai!F36+Kishanganj!F36+Khagaria!F36+Katihar!F36+Kaimur!F36+Jehanabad!F36+Jamui!F36+Gopalganj!F36+Gaya!F36+'East Champaran'!F36+Darbhanga!F36+Buxer!F36+Bhojpur!F36+Bhagalpur!F36+Begusarai!F36+Banka!F36+Aurangabad!F36+Arwal!F36+Araria!F36</f>
        <v>74.715000000000003</v>
      </c>
      <c r="G36" s="309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1"/>
    </row>
    <row r="37" spans="1:21" ht="30" customHeight="1">
      <c r="A37" s="264" t="s">
        <v>159</v>
      </c>
      <c r="B37" s="266"/>
      <c r="C37" s="15"/>
      <c r="D37" s="12">
        <f>+D34+D30+D26</f>
        <v>19049</v>
      </c>
      <c r="E37" s="43"/>
      <c r="F37" s="57">
        <f>SUM(F26:F36)</f>
        <v>1727.3259500000001</v>
      </c>
      <c r="G37" s="40"/>
      <c r="H37" s="40"/>
      <c r="I37" s="40"/>
      <c r="J37" s="40"/>
      <c r="K37" s="40"/>
      <c r="L37" s="40"/>
      <c r="M37" s="20"/>
      <c r="N37" s="20"/>
      <c r="O37" s="20"/>
      <c r="P37" s="20"/>
      <c r="Q37" s="20"/>
      <c r="R37" s="20"/>
    </row>
    <row r="38" spans="1:21" ht="25.5" customHeight="1">
      <c r="A38" s="286">
        <v>2.0699999999999998</v>
      </c>
      <c r="B38" s="37" t="s">
        <v>137</v>
      </c>
      <c r="C38" s="40"/>
      <c r="D38" s="12"/>
      <c r="E38" s="40"/>
      <c r="F38" s="26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3"/>
      <c r="T38" s="3"/>
      <c r="U38" s="3"/>
    </row>
    <row r="39" spans="1:21">
      <c r="A39" s="287"/>
      <c r="B39" s="15" t="s">
        <v>75</v>
      </c>
      <c r="C39" s="15" t="s">
        <v>42</v>
      </c>
      <c r="D39" s="16">
        <f>+'State Component'!D39+'West Champaran'!D39+Vaishali!D39+Supaul!D39+Siwan!D39+Sitamarhi!D39+Sheohar!D39+Sheikhpura!D39+Saran!D39+Samastipur!D39+Saharsa!D39+Rohtas!D39+Purnia!D39+'Patna (U)'!D39+'Patna (R)'!D39+Nawada!D39+Nalanda!D39+Muzafferpur!D39+Munger!D39+Madhubani!D39+Madhepura!D39+Lakhisarai!D39+Kishanganj!D39+Khagaria!D39+Katihar!D39+Kaimur!D39+Jehanabad!D39+Jamui!D39+Gopalganj!D39+Gaya!D39+'East Champaran'!D39+Darbhanga!D39+Buxer!D39+Bhojpur!D39+Begusarai!D39+Bhagalpur!D39+Banka!D39+Aurangabad!D39+Arwal!D39+Araria!D39</f>
        <v>5027</v>
      </c>
      <c r="E39" s="43" t="s">
        <v>19</v>
      </c>
      <c r="F39" s="32">
        <f>+'State Component'!F39+'West Champaran'!F39+Vaishali!F39+Supaul!F39+Siwan!F39+Sitamarhi!F39+Sheohar!F39+Sheikhpura!F39+Saran!F39+Samastipur!F39+Saharsa!F39+Rohtas!F39+Purnia!F39+'Patna (U)'!F39+'Patna (R)'!F39+Nawada!F39+Nalanda!F39+Muzafferpur!F39+Munger!F39+Madhubani!F39+Madhepura!F39+Lakhisarai!F39+Kishanganj!F39+Khagaria!F39+Katihar!F39+Kaimur!F39+Jehanabad!F39+Jamui!F39+Gopalganj!F39+Gaya!F39+'East Champaran'!F39+Darbhanga!F39+Buxer!F39+Bhojpur!F39+Bhagalpur!F39+Begusarai!F39+Banka!F39+Aurangabad!F39+Arwal!F39+Araria!F39</f>
        <v>3.36</v>
      </c>
      <c r="G39" s="304" t="s">
        <v>190</v>
      </c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6"/>
      <c r="S39" s="3"/>
      <c r="T39" s="3"/>
      <c r="U39" s="3"/>
    </row>
    <row r="40" spans="1:21" ht="25.5" customHeight="1">
      <c r="A40" s="287"/>
      <c r="B40" s="15" t="s">
        <v>76</v>
      </c>
      <c r="C40" s="15" t="s">
        <v>42</v>
      </c>
      <c r="D40" s="16">
        <f>+'State Component'!D40+'West Champaran'!D40+Vaishali!D40+Supaul!D40+Siwan!D40+Sitamarhi!D40+Sheohar!D40+Sheikhpura!D40+Saran!D40+Samastipur!D40+Saharsa!D40+Rohtas!D40+Purnia!D40+'Patna (U)'!D40+'Patna (R)'!D40+Nawada!D40+Nalanda!D40+Muzafferpur!D40+Munger!D40+Madhubani!D40+Madhepura!D40+Lakhisarai!D40+Kishanganj!D40+Khagaria!D40+Katihar!D40+Kaimur!D40+Jehanabad!D40+Jamui!D40+Gopalganj!D40+Gaya!D40+'East Champaran'!D40+Darbhanga!D40+Buxer!D40+Bhojpur!D40+Begusarai!D40+Bhagalpur!D40+Banka!D40+Aurangabad!D40+Arwal!D40+Araria!D40</f>
        <v>5027</v>
      </c>
      <c r="E40" s="43" t="s">
        <v>19</v>
      </c>
      <c r="F40" s="32">
        <f>+'State Component'!F40+'West Champaran'!F40+Vaishali!F40+Supaul!F40+Siwan!F40+Sitamarhi!F40+Sheohar!F40+Sheikhpura!F40+Saran!F40+Samastipur!F40+Saharsa!F40+Rohtas!F40+Purnia!F40+'Patna (U)'!F40+'Patna (R)'!F40+Nawada!F40+Nalanda!F40+Muzafferpur!F40+Munger!F40+Madhubani!F40+Madhepura!F40+Lakhisarai!F40+Kishanganj!F40+Khagaria!F40+Katihar!F40+Kaimur!F40+Jehanabad!F40+Jamui!F40+Gopalganj!F40+Gaya!F40+'East Champaran'!F40+Darbhanga!F40+Buxer!F40+Bhojpur!F40+Bhagalpur!F40+Begusarai!F40+Banka!F40+Aurangabad!F40+Arwal!F40+Araria!F40</f>
        <v>0</v>
      </c>
      <c r="G40" s="30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308"/>
      <c r="S40" s="3"/>
      <c r="T40" s="3"/>
      <c r="U40" s="3"/>
    </row>
    <row r="41" spans="1:21" ht="25.5" customHeight="1">
      <c r="A41" s="288"/>
      <c r="B41" s="15" t="s">
        <v>96</v>
      </c>
      <c r="C41" s="15" t="s">
        <v>42</v>
      </c>
      <c r="D41" s="16">
        <f>+'State Component'!D41+'West Champaran'!D41+Vaishali!D41+Supaul!D41+Siwan!D41+Sitamarhi!D41+Sheohar!D41+Sheikhpura!D41+Saran!D41+Samastipur!D41+Saharsa!D41+Rohtas!D41+Purnia!D41+'Patna (U)'!D41+'Patna (R)'!D41+Nawada!D41+Nalanda!D41+Muzafferpur!D41+Munger!D41+Madhubani!D41+Madhepura!D41+Lakhisarai!D41+Kishanganj!D41+Khagaria!D41+Katihar!D41+Kaimur!D41+Jehanabad!D41+Jamui!D41+Gopalganj!D41+Gaya!D41+'East Champaran'!D41+Darbhanga!D41+Buxer!D41+Bhojpur!D41+Begusarai!D41+Bhagalpur!D41+Banka!D41+Aurangabad!D41+Arwal!D41+Araria!D41</f>
        <v>5027</v>
      </c>
      <c r="E41" s="43" t="s">
        <v>19</v>
      </c>
      <c r="F41" s="32">
        <f>+'State Component'!F41+'West Champaran'!F41+Vaishali!F41+Supaul!F41+Siwan!F41+Sitamarhi!F41+Sheohar!F41+Sheikhpura!F41+Saran!F41+Samastipur!F41+Saharsa!F41+Rohtas!F41+Purnia!F41+'Patna (U)'!F41+'Patna (R)'!F41+Nawada!F41+Nalanda!F41+Muzafferpur!F41+Munger!F41+Madhubani!F41+Madhepura!F41+Lakhisarai!F41+Kishanganj!F41+Khagaria!F41+Katihar!F41+Kaimur!F41+Jehanabad!F41+Jamui!F41+Gopalganj!F41+Gaya!F41+'East Champaran'!F41+Darbhanga!F41+Buxer!F41+Bhojpur!F41+Bhagalpur!F41+Begusarai!F41+Banka!F41+Aurangabad!F41+Arwal!F41+Araria!F41</f>
        <v>25.13</v>
      </c>
      <c r="G41" s="309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1"/>
      <c r="S41" s="3"/>
      <c r="T41" s="3"/>
      <c r="U41" s="3"/>
    </row>
    <row r="42" spans="1:21" ht="45" customHeight="1">
      <c r="A42" s="286">
        <v>2.08</v>
      </c>
      <c r="B42" s="37" t="s">
        <v>138</v>
      </c>
      <c r="C42" s="40"/>
      <c r="D42" s="12"/>
      <c r="E42" s="40"/>
      <c r="F42" s="26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3"/>
      <c r="T42" s="3"/>
      <c r="U42" s="3"/>
    </row>
    <row r="43" spans="1:21">
      <c r="A43" s="287"/>
      <c r="B43" s="15" t="s">
        <v>75</v>
      </c>
      <c r="C43" s="15" t="s">
        <v>42</v>
      </c>
      <c r="D43" s="16">
        <f>+'State Component'!D43+'West Champaran'!D43+Vaishali!D43+Supaul!D43+Siwan!D43+Sitamarhi!D43+Sheohar!D43+Sheikhpura!D43+Saran!D43+Samastipur!D43+Saharsa!D43+Rohtas!D43+Purnia!D43+'Patna (U)'!D43+'Patna (R)'!D43+Nawada!D43+Nalanda!D43+Muzafferpur!D43+Munger!D43+Madhubani!D43+Madhepura!D43+Lakhisarai!D43+Kishanganj!D43+Khagaria!D43+Katihar!D43+Kaimur!D43+Jehanabad!D43+Jamui!D43+Gopalganj!D43+Gaya!D43+'East Champaran'!D43+Darbhanga!D43+Buxer!D43+Bhojpur!D43+Begusarai!D43+Bhagalpur!D43+Banka!D43+Aurangabad!D43+Arwal!D43+Araria!D43</f>
        <v>26066</v>
      </c>
      <c r="E43" s="43" t="s">
        <v>19</v>
      </c>
      <c r="F43" s="32">
        <f>+'State Component'!F43+'West Champaran'!F43+Vaishali!F43+Supaul!F43+Siwan!F43+Sitamarhi!F43+Sheohar!F43+Sheikhpura!F43+Saran!F43+Samastipur!F43+Saharsa!F43+Rohtas!F43+Purnia!F43+'Patna (U)'!F43+'Patna (R)'!F43+Nawada!F43+Nalanda!F43+Muzafferpur!F43+Munger!F43+Madhubani!F43+Madhepura!F43+Lakhisarai!F43+Kishanganj!F43+Khagaria!F43+Katihar!F43+Kaimur!F43+Jehanabad!F43+Jamui!F43+Gopalganj!F43+Gaya!F43+'East Champaran'!F43+Darbhanga!F43+Buxer!F43+Bhojpur!F43+Bhagalpur!F43+Begusarai!F43+Banka!F43+Aurangabad!F43+Arwal!F43+Araria!F43</f>
        <v>17.430389999999999</v>
      </c>
      <c r="G43" s="304" t="s">
        <v>190</v>
      </c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6"/>
      <c r="S43" s="3"/>
      <c r="T43" s="3"/>
      <c r="U43" s="3"/>
    </row>
    <row r="44" spans="1:21">
      <c r="A44" s="287"/>
      <c r="B44" s="15" t="s">
        <v>76</v>
      </c>
      <c r="C44" s="15" t="s">
        <v>42</v>
      </c>
      <c r="D44" s="16">
        <f>+'State Component'!D44+'West Champaran'!D44+Vaishali!D44+Supaul!D44+Siwan!D44+Sitamarhi!D44+Sheohar!D44+Sheikhpura!D44+Saran!D44+Samastipur!D44+Saharsa!D44+Rohtas!D44+Purnia!D44+'Patna (U)'!D44+'Patna (R)'!D44+Nawada!D44+Nalanda!D44+Muzafferpur!D44+Munger!D44+Madhubani!D44+Madhepura!D44+Lakhisarai!D44+Kishanganj!D44+Khagaria!D44+Katihar!D44+Kaimur!D44+Jehanabad!D44+Jamui!D44+Gopalganj!D44+Gaya!D44+'East Champaran'!D44+Darbhanga!D44+Buxer!D44+Bhojpur!D44+Begusarai!D44+Bhagalpur!D44+Banka!D44+Aurangabad!D44+Arwal!D44+Araria!D44</f>
        <v>16575</v>
      </c>
      <c r="E44" s="43" t="s">
        <v>19</v>
      </c>
      <c r="F44" s="32">
        <f>+'State Component'!F44+'West Champaran'!F44+Vaishali!F44+Supaul!F44+Siwan!F44+Sitamarhi!F44+Sheohar!F44+Sheikhpura!F44+Saran!F44+Samastipur!F44+Saharsa!F44+Rohtas!F44+Purnia!F44+'Patna (U)'!F44+'Patna (R)'!F44+Nawada!F44+Nalanda!F44+Muzafferpur!F44+Munger!F44+Madhubani!F44+Madhepura!F44+Lakhisarai!F44+Kishanganj!F44+Khagaria!F44+Katihar!F44+Kaimur!F44+Jehanabad!F44+Jamui!F44+Gopalganj!F44+Gaya!F44+'East Champaran'!F44+Darbhanga!F44+Buxer!F44+Bhojpur!F44+Bhagalpur!F44+Begusarai!F44+Banka!F44+Aurangabad!F44+Arwal!F44+Araria!F44</f>
        <v>0</v>
      </c>
      <c r="G44" s="30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308"/>
      <c r="S44" s="3"/>
      <c r="T44" s="3"/>
      <c r="U44" s="3"/>
    </row>
    <row r="45" spans="1:21">
      <c r="A45" s="288"/>
      <c r="B45" s="15" t="s">
        <v>96</v>
      </c>
      <c r="C45" s="15" t="s">
        <v>42</v>
      </c>
      <c r="D45" s="16">
        <f>+'State Component'!D45+'West Champaran'!D45+Vaishali!D45+Supaul!D45+Siwan!D45+Sitamarhi!D45+Sheohar!D45+Sheikhpura!D45+Saran!D45+Samastipur!D45+Saharsa!D45+Rohtas!D45+Purnia!D45+'Patna (U)'!D45+'Patna (R)'!D45+Nawada!D45+Nalanda!D45+Muzafferpur!D45+Munger!D45+Madhubani!D45+Madhepura!D45+Lakhisarai!D45+Kishanganj!D45+Khagaria!D45+Katihar!D45+Kaimur!D45+Jehanabad!D45+Jamui!D45+Gopalganj!D45+Gaya!D45+'East Champaran'!D45+Darbhanga!D45+Buxer!D45+Bhojpur!D45+Begusarai!D45+Bhagalpur!D45+Banka!D45+Aurangabad!D45+Arwal!D45+Araria!D45</f>
        <v>26066</v>
      </c>
      <c r="E45" s="43" t="s">
        <v>19</v>
      </c>
      <c r="F45" s="32">
        <f>+'State Component'!F45+'West Champaran'!F45+Vaishali!F45+Supaul!F45+Siwan!F45+Sitamarhi!F45+Sheohar!F45+Sheikhpura!F45+Saran!F45+Samastipur!F45+Saharsa!F45+Rohtas!F45+Purnia!F45+'Patna (U)'!F45+'Patna (R)'!F45+Nawada!F45+Nalanda!F45+Muzafferpur!F45+Munger!F45+Madhubani!F45+Madhepura!F45+Lakhisarai!F45+Kishanganj!F45+Khagaria!F45+Katihar!F45+Kaimur!F45+Jehanabad!F45+Jamui!F45+Gopalganj!F45+Gaya!F45+'East Champaran'!F45+Darbhanga!F45+Buxer!F45+Bhojpur!F45+Bhagalpur!F45+Begusarai!F45+Banka!F45+Aurangabad!F45+Arwal!F45+Araria!F45</f>
        <v>130.31</v>
      </c>
      <c r="G45" s="309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1"/>
      <c r="S45" s="3"/>
      <c r="T45" s="3"/>
      <c r="U45" s="3"/>
    </row>
    <row r="46" spans="1:21" ht="25.5">
      <c r="A46" s="286">
        <v>2.09</v>
      </c>
      <c r="B46" s="37" t="s">
        <v>139</v>
      </c>
      <c r="C46" s="40"/>
      <c r="D46" s="12"/>
      <c r="E46" s="40"/>
      <c r="F46" s="26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3"/>
      <c r="T46" s="3"/>
      <c r="U46" s="3"/>
    </row>
    <row r="47" spans="1:21" ht="25.5" customHeight="1">
      <c r="A47" s="287"/>
      <c r="B47" s="15" t="s">
        <v>75</v>
      </c>
      <c r="C47" s="15" t="s">
        <v>42</v>
      </c>
      <c r="D47" s="16">
        <f>+'State Component'!D47+'West Champaran'!D47+Vaishali!D47+Supaul!D47+Siwan!D47+Sitamarhi!D47+Sheohar!D47+Sheikhpura!D47+Saran!D47+Samastipur!D47+Saharsa!D47+Rohtas!D47+Purnia!D47+'Patna (U)'!D47+'Patna (R)'!D47+Nawada!D47+Nalanda!D47+Muzafferpur!D47+Munger!D47+Madhubani!D47+Madhepura!D47+Lakhisarai!D47+Kishanganj!D47+Khagaria!D47+Katihar!D47+Kaimur!D47+Jehanabad!D47+Jamui!D47+Gopalganj!D47+Gaya!D47+'East Champaran'!D47+Darbhanga!D47+Buxer!D47+Bhojpur!D47+Begusarai!D47+Bhagalpur!D47+Banka!D47+Aurangabad!D47+Arwal!D47+Araria!D47</f>
        <v>66169</v>
      </c>
      <c r="E47" s="43" t="s">
        <v>19</v>
      </c>
      <c r="F47" s="32">
        <f>+'State Component'!F47+'West Champaran'!F47+Vaishali!F47+Supaul!F47+Siwan!F47+Sitamarhi!F47+Sheohar!F47+Sheikhpura!F47+Saran!F47+Samastipur!F47+Saharsa!F47+Rohtas!F47+Purnia!F47+'Patna (U)'!F47+'Patna (R)'!F47+Nawada!F47+Nalanda!F47+Muzafferpur!F47+Munger!F47+Madhubani!F47+Madhepura!F47+Lakhisarai!F47+Kishanganj!F47+Khagaria!F47+Katihar!F47+Kaimur!F47+Jehanabad!F47+Jamui!F47+Gopalganj!F47+Gaya!F47+'East Champaran'!F47+Darbhanga!F47+Buxer!F47+Bhojpur!F47+Bhagalpur!F47+Begusarai!F47+Banka!F47+Aurangabad!F47+Arwal!F47+Araria!F47</f>
        <v>43.916590000000014</v>
      </c>
      <c r="G47" s="304" t="s">
        <v>190</v>
      </c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6"/>
      <c r="S47" s="3"/>
      <c r="T47" s="3"/>
      <c r="U47" s="3"/>
    </row>
    <row r="48" spans="1:21">
      <c r="A48" s="287"/>
      <c r="B48" s="15" t="s">
        <v>76</v>
      </c>
      <c r="C48" s="15" t="s">
        <v>42</v>
      </c>
      <c r="D48" s="16">
        <f>+'State Component'!D48+'West Champaran'!D48+Vaishali!D48+Supaul!D48+Siwan!D48+Sitamarhi!D48+Sheohar!D48+Sheikhpura!D48+Saran!D48+Samastipur!D48+Saharsa!D48+Rohtas!D48+Purnia!D48+'Patna (U)'!D48+'Patna (R)'!D48+Nawada!D48+Nalanda!D48+Muzafferpur!D48+Munger!D48+Madhubani!D48+Madhepura!D48+Lakhisarai!D48+Kishanganj!D48+Khagaria!D48+Katihar!D48+Kaimur!D48+Jehanabad!D48+Jamui!D48+Gopalganj!D48+Gaya!D48+'East Champaran'!D48+Darbhanga!D48+Buxer!D48+Bhojpur!D48+Begusarai!D48+Bhagalpur!D48+Banka!D48+Aurangabad!D48+Arwal!D48+Araria!D48</f>
        <v>42582</v>
      </c>
      <c r="E48" s="43" t="s">
        <v>19</v>
      </c>
      <c r="F48" s="32">
        <f>+'State Component'!F48+'West Champaran'!F48+Vaishali!F48+Supaul!F48+Siwan!F48+Sitamarhi!F48+Sheohar!F48+Sheikhpura!F48+Saran!F48+Samastipur!F48+Saharsa!F48+Rohtas!F48+Purnia!F48+'Patna (U)'!F48+'Patna (R)'!F48+Nawada!F48+Nalanda!F48+Muzafferpur!F48+Munger!F48+Madhubani!F48+Madhepura!F48+Lakhisarai!F48+Kishanganj!F48+Khagaria!F48+Katihar!F48+Kaimur!F48+Jehanabad!F48+Jamui!F48+Gopalganj!F48+Gaya!F48+'East Champaran'!F48+Darbhanga!F48+Buxer!F48+Bhojpur!F48+Bhagalpur!F48+Begusarai!F48+Banka!F48+Aurangabad!F48+Arwal!F48+Araria!F48</f>
        <v>0</v>
      </c>
      <c r="G48" s="30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308"/>
      <c r="S48" s="3"/>
      <c r="T48" s="3"/>
      <c r="U48" s="3"/>
    </row>
    <row r="49" spans="1:21">
      <c r="A49" s="288"/>
      <c r="B49" s="15" t="s">
        <v>96</v>
      </c>
      <c r="C49" s="15" t="s">
        <v>42</v>
      </c>
      <c r="D49" s="16">
        <f>+'State Component'!D49+'West Champaran'!D49+Vaishali!D49+Supaul!D49+Siwan!D49+Sitamarhi!D49+Sheohar!D49+Sheikhpura!D49+Saran!D49+Samastipur!D49+Saharsa!D49+Rohtas!D49+Purnia!D49+'Patna (U)'!D49+'Patna (R)'!D49+Nawada!D49+Nalanda!D49+Muzafferpur!D49+Munger!D49+Madhubani!D49+Madhepura!D49+Lakhisarai!D49+Kishanganj!D49+Khagaria!D49+Katihar!D49+Kaimur!D49+Jehanabad!D49+Jamui!D49+Gopalganj!D49+Gaya!D49+'East Champaran'!D49+Darbhanga!D49+Buxer!D49+Bhojpur!D49+Begusarai!D49+Bhagalpur!D49+Banka!D49+Aurangabad!D49+Arwal!D49+Araria!D49</f>
        <v>64635</v>
      </c>
      <c r="E49" s="43" t="s">
        <v>19</v>
      </c>
      <c r="F49" s="32">
        <f>+'State Component'!F49+'West Champaran'!F49+Vaishali!F49+Supaul!F49+Siwan!F49+Sitamarhi!F49+Sheohar!F49+Sheikhpura!F49+Saran!F49+Samastipur!F49+Saharsa!F49+Rohtas!F49+Purnia!F49+'Patna (U)'!F49+'Patna (R)'!F49+Nawada!F49+Nalanda!F49+Muzafferpur!F49+Munger!F49+Madhubani!F49+Madhepura!F49+Lakhisarai!F49+Kishanganj!F49+Khagaria!F49+Katihar!F49+Kaimur!F49+Jehanabad!F49+Jamui!F49+Gopalganj!F49+Gaya!F49+'East Champaran'!F49+Darbhanga!F49+Buxer!F49+Bhojpur!F49+Bhagalpur!F49+Begusarai!F49+Banka!F49+Aurangabad!F49+Arwal!F49+Araria!F49</f>
        <v>323.15500000000009</v>
      </c>
      <c r="G49" s="309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1"/>
      <c r="S49" s="3"/>
      <c r="T49" s="3"/>
      <c r="U49" s="3"/>
    </row>
    <row r="50" spans="1:21" ht="30" customHeight="1">
      <c r="A50" s="264" t="s">
        <v>160</v>
      </c>
      <c r="B50" s="266"/>
      <c r="C50" s="15"/>
      <c r="D50" s="12">
        <f>+D47+D43+D39</f>
        <v>97262</v>
      </c>
      <c r="E50" s="43"/>
      <c r="F50" s="26">
        <f>SUM(F39:F49)</f>
        <v>543.30198000000007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3"/>
      <c r="T50" s="3"/>
      <c r="U50" s="3"/>
    </row>
    <row r="51" spans="1:21" ht="25.5">
      <c r="A51" s="289">
        <v>2.1</v>
      </c>
      <c r="B51" s="37" t="s">
        <v>140</v>
      </c>
      <c r="C51" s="40"/>
      <c r="D51" s="12"/>
      <c r="E51" s="40"/>
      <c r="F51" s="26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3"/>
      <c r="T51" s="3"/>
      <c r="U51" s="3"/>
    </row>
    <row r="52" spans="1:21">
      <c r="A52" s="290"/>
      <c r="B52" s="15" t="s">
        <v>75</v>
      </c>
      <c r="C52" s="15" t="s">
        <v>42</v>
      </c>
      <c r="D52" s="16">
        <f>+'State Component'!D52+'West Champaran'!D52+Vaishali!D52+Supaul!D52+Siwan!D52+Sitamarhi!D52+Sheohar!D52+Sheikhpura!D52+Saran!D52+Samastipur!D52+Saharsa!D52+Rohtas!D52+Purnia!D52+'Patna (U)'!D52+'Patna (R)'!D52+Nawada!D52+Nalanda!D52+Muzafferpur!D52+Munger!D52+Madhubani!D52+Madhepura!D52+Lakhisarai!D52+Kishanganj!D52+Khagaria!D52+Katihar!D52+Kaimur!D52+Jehanabad!D52+Jamui!D52+Gopalganj!D52+Gaya!D52+'East Champaran'!D52+Darbhanga!D52+Buxer!D52+Bhojpur!D52+Begusarai!D52+Bhagalpur!D52+Banka!D52+Aurangabad!D52+Arwal!D52+Araria!D52</f>
        <v>0</v>
      </c>
      <c r="E52" s="43" t="s">
        <v>19</v>
      </c>
      <c r="F52" s="32">
        <f>+'State Component'!F52+'West Champaran'!F52+Vaishali!F52+Supaul!F52+Siwan!F52+Sitamarhi!F52+Sheohar!F52+Sheikhpura!F52+Saran!F52+Samastipur!F52+Saharsa!F52+Rohtas!F52+Purnia!F52+'Patna (U)'!F52+'Patna (R)'!F52+Nawada!F52+Nalanda!F52+Muzafferpur!F52+Munger!F52+Madhubani!F52+Madhepura!F52+Lakhisarai!F52+Kishanganj!F52+Khagaria!F52+Katihar!F52+Kaimur!F52+Jehanabad!F52+Jamui!F52+Gopalganj!F52+Gaya!F52+'East Champaran'!F52+Darbhanga!F52+Buxer!F52+Bhojpur!F52+Bhagalpur!F52+Begusarai!F52+Banka!F52+Aurangabad!F52+Arwal!F52+Araria!F52</f>
        <v>0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3"/>
      <c r="T52" s="3"/>
      <c r="U52" s="3"/>
    </row>
    <row r="53" spans="1:21" ht="25.5" customHeight="1">
      <c r="A53" s="290"/>
      <c r="B53" s="15" t="s">
        <v>76</v>
      </c>
      <c r="C53" s="15" t="s">
        <v>42</v>
      </c>
      <c r="D53" s="16">
        <f>+'State Component'!D53+'West Champaran'!D53+Vaishali!D53+Supaul!D53+Siwan!D53+Sitamarhi!D53+Sheohar!D53+Sheikhpura!D53+Saran!D53+Samastipur!D53+Saharsa!D53+Rohtas!D53+Purnia!D53+'Patna (U)'!D53+'Patna (R)'!D53+Nawada!D53+Nalanda!D53+Muzafferpur!D53+Munger!D53+Madhubani!D53+Madhepura!D53+Lakhisarai!D53+Kishanganj!D53+Khagaria!D53+Katihar!D53+Kaimur!D53+Jehanabad!D53+Jamui!D53+Gopalganj!D53+Gaya!D53+'East Champaran'!D53+Darbhanga!D53+Buxer!D53+Bhojpur!D53+Begusarai!D53+Bhagalpur!D53+Banka!D53+Aurangabad!D53+Arwal!D53+Araria!D53</f>
        <v>0</v>
      </c>
      <c r="E53" s="43" t="s">
        <v>19</v>
      </c>
      <c r="F53" s="32">
        <f>+'State Component'!F53+'West Champaran'!F53+Vaishali!F53+Supaul!F53+Siwan!F53+Sitamarhi!F53+Sheohar!F53+Sheikhpura!F53+Saran!F53+Samastipur!F53+Saharsa!F53+Rohtas!F53+Purnia!F53+'Patna (U)'!F53+'Patna (R)'!F53+Nawada!F53+Nalanda!F53+Muzafferpur!F53+Munger!F53+Madhubani!F53+Madhepura!F53+Lakhisarai!F53+Kishanganj!F53+Khagaria!F53+Katihar!F53+Kaimur!F53+Jehanabad!F53+Jamui!F53+Gopalganj!F53+Gaya!F53+'East Champaran'!F53+Darbhanga!F53+Buxer!F53+Bhojpur!F53+Bhagalpur!F53+Begusarai!F53+Banka!F53+Aurangabad!F53+Arwal!F53+Araria!F53</f>
        <v>0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3"/>
      <c r="T53" s="3"/>
      <c r="U53" s="3"/>
    </row>
    <row r="54" spans="1:21">
      <c r="A54" s="291"/>
      <c r="B54" s="15" t="s">
        <v>96</v>
      </c>
      <c r="C54" s="15" t="s">
        <v>42</v>
      </c>
      <c r="D54" s="16">
        <f>+'State Component'!D54+'West Champaran'!D54+Vaishali!D54+Supaul!D54+Siwan!D54+Sitamarhi!D54+Sheohar!D54+Sheikhpura!D54+Saran!D54+Samastipur!D54+Saharsa!D54+Rohtas!D54+Purnia!D54+'Patna (U)'!D54+'Patna (R)'!D54+Nawada!D54+Nalanda!D54+Muzafferpur!D54+Munger!D54+Madhubani!D54+Madhepura!D54+Lakhisarai!D54+Kishanganj!D54+Khagaria!D54+Katihar!D54+Kaimur!D54+Jehanabad!D54+Jamui!D54+Gopalganj!D54+Gaya!D54+'East Champaran'!D54+Darbhanga!D54+Buxer!D54+Bhojpur!D54+Begusarai!D54+Bhagalpur!D54+Banka!D54+Aurangabad!D54+Arwal!D54+Araria!D54</f>
        <v>0</v>
      </c>
      <c r="E54" s="43" t="s">
        <v>19</v>
      </c>
      <c r="F54" s="32">
        <f>+'State Component'!F54+'West Champaran'!F54+Vaishali!F54+Supaul!F54+Siwan!F54+Sitamarhi!F54+Sheohar!F54+Sheikhpura!F54+Saran!F54+Samastipur!F54+Saharsa!F54+Rohtas!F54+Purnia!F54+'Patna (U)'!F54+'Patna (R)'!F54+Nawada!F54+Nalanda!F54+Muzafferpur!F54+Munger!F54+Madhubani!F54+Madhepura!F54+Lakhisarai!F54+Kishanganj!F54+Khagaria!F54+Katihar!F54+Kaimur!F54+Jehanabad!F54+Jamui!F54+Gopalganj!F54+Gaya!F54+'East Champaran'!F54+Darbhanga!F54+Buxer!F54+Bhojpur!F54+Bhagalpur!F54+Begusarai!F54+Banka!F54+Aurangabad!F54+Arwal!F54+Araria!F54</f>
        <v>0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3"/>
      <c r="T54" s="3"/>
      <c r="U54" s="3"/>
    </row>
    <row r="55" spans="1:21" ht="45" customHeight="1">
      <c r="A55" s="286">
        <v>2.11</v>
      </c>
      <c r="B55" s="37" t="s">
        <v>142</v>
      </c>
      <c r="C55" s="4"/>
      <c r="D55" s="43"/>
      <c r="E55" s="43"/>
      <c r="F55" s="26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3"/>
      <c r="T55" s="3"/>
      <c r="U55" s="3"/>
    </row>
    <row r="56" spans="1:21" ht="45" customHeight="1">
      <c r="A56" s="287"/>
      <c r="B56" s="15" t="s">
        <v>75</v>
      </c>
      <c r="C56" s="15" t="s">
        <v>42</v>
      </c>
      <c r="D56" s="16">
        <f>+'State Component'!D56+'West Champaran'!D56+Vaishali!D56+Supaul!D56+Siwan!D56+Sitamarhi!D56+Sheohar!D56+Sheikhpura!D56+Saran!D56+Samastipur!D56+Saharsa!D56+Rohtas!D56+Purnia!D56+'Patna (U)'!D56+'Patna (R)'!D56+Nawada!D56+Nalanda!D56+Muzafferpur!D56+Munger!D56+Madhubani!D56+Madhepura!D56+Lakhisarai!D56+Kishanganj!D56+Khagaria!D56+Katihar!D56+Kaimur!D56+Jehanabad!D56+Jamui!D56+Gopalganj!D56+Gaya!D56+'East Champaran'!D56+Darbhanga!D56+Buxer!D56+Bhojpur!D56+Begusarai!D56+Bhagalpur!D56+Banka!D56+Aurangabad!D56+Arwal!D56+Araria!D56</f>
        <v>2762</v>
      </c>
      <c r="E56" s="43" t="s">
        <v>19</v>
      </c>
      <c r="F56" s="32">
        <f>+'State Component'!F56+'West Champaran'!F56+Vaishali!F56+Supaul!F56+Siwan!F56+Sitamarhi!F56+Sheohar!F56+Sheikhpura!F56+Saran!F56+Samastipur!F56+Saharsa!F56+Rohtas!F56+Purnia!F56+'Patna (U)'!F56+'Patna (R)'!F56+Nawada!F56+Nalanda!F56+Muzafferpur!F56+Munger!F56+Madhubani!F56+Madhepura!F56+Lakhisarai!F56+Kishanganj!F56+Khagaria!F56+Katihar!F56+Kaimur!F56+Jehanabad!F56+Jamui!F56+Gopalganj!F56+Gaya!F56+'East Champaran'!F56+Darbhanga!F56+Buxer!F56+Bhojpur!F56+Bhagalpur!F56+Begusarai!F56+Banka!F56+Aurangabad!F56+Arwal!F56+Araria!F56</f>
        <v>1.85</v>
      </c>
      <c r="G56" s="304" t="s">
        <v>190</v>
      </c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6"/>
      <c r="S56" s="3"/>
      <c r="T56" s="3"/>
      <c r="U56" s="3"/>
    </row>
    <row r="57" spans="1:21" ht="15" customHeight="1">
      <c r="A57" s="287"/>
      <c r="B57" s="15" t="s">
        <v>76</v>
      </c>
      <c r="C57" s="15" t="s">
        <v>42</v>
      </c>
      <c r="D57" s="16">
        <f>+'State Component'!D57+'West Champaran'!D57+Vaishali!D57+Supaul!D57+Siwan!D57+Sitamarhi!D57+Sheohar!D57+Sheikhpura!D57+Saran!D57+Samastipur!D57+Saharsa!D57+Rohtas!D57+Purnia!D57+'Patna (U)'!D57+'Patna (R)'!D57+Nawada!D57+Nalanda!D57+Muzafferpur!D57+Munger!D57+Madhubani!D57+Madhepura!D57+Lakhisarai!D57+Kishanganj!D57+Khagaria!D57+Katihar!D57+Kaimur!D57+Jehanabad!D57+Jamui!D57+Gopalganj!D57+Gaya!D57+'East Champaran'!D57+Darbhanga!D57+Buxer!D57+Bhojpur!D57+Begusarai!D57+Bhagalpur!D57+Banka!D57+Aurangabad!D57+Arwal!D57+Araria!D57</f>
        <v>2762</v>
      </c>
      <c r="E57" s="43" t="s">
        <v>19</v>
      </c>
      <c r="F57" s="32">
        <f>+'State Component'!F57+'West Champaran'!F57+Vaishali!F57+Supaul!F57+Siwan!F57+Sitamarhi!F57+Sheohar!F57+Sheikhpura!F57+Saran!F57+Samastipur!F57+Saharsa!F57+Rohtas!F57+Purnia!F57+'Patna (U)'!F57+'Patna (R)'!F57+Nawada!F57+Nalanda!F57+Muzafferpur!F57+Munger!F57+Madhubani!F57+Madhepura!F57+Lakhisarai!F57+Kishanganj!F57+Khagaria!F57+Katihar!F57+Kaimur!F57+Jehanabad!F57+Jamui!F57+Gopalganj!F57+Gaya!F57+'East Champaran'!F57+Darbhanga!F57+Buxer!F57+Bhojpur!F57+Bhagalpur!F57+Begusarai!F57+Banka!F57+Aurangabad!F57+Arwal!F57+Araria!F57</f>
        <v>0</v>
      </c>
      <c r="G57" s="30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308"/>
      <c r="S57" s="3"/>
      <c r="T57" s="3"/>
      <c r="U57" s="3"/>
    </row>
    <row r="58" spans="1:21" ht="15" customHeight="1">
      <c r="A58" s="288"/>
      <c r="B58" s="15" t="s">
        <v>96</v>
      </c>
      <c r="C58" s="15" t="s">
        <v>42</v>
      </c>
      <c r="D58" s="16">
        <f>+'State Component'!D58+'West Champaran'!D58+Vaishali!D58+Supaul!D58+Siwan!D58+Sitamarhi!D58+Sheohar!D58+Sheikhpura!D58+Saran!D58+Samastipur!D58+Saharsa!D58+Rohtas!D58+Purnia!D58+'Patna (U)'!D58+'Patna (R)'!D58+Nawada!D58+Nalanda!D58+Muzafferpur!D58+Munger!D58+Madhubani!D58+Madhepura!D58+Lakhisarai!D58+Kishanganj!D58+Khagaria!D58+Katihar!D58+Kaimur!D58+Jehanabad!D58+Jamui!D58+Gopalganj!D58+Gaya!D58+'East Champaran'!D58+Darbhanga!D58+Buxer!D58+Bhojpur!D58+Begusarai!D58+Bhagalpur!D58+Banka!D58+Aurangabad!D58+Arwal!D58+Araria!D58</f>
        <v>2762</v>
      </c>
      <c r="E58" s="43" t="s">
        <v>19</v>
      </c>
      <c r="F58" s="32">
        <f>+'State Component'!F58+'West Champaran'!F58+Vaishali!F58+Supaul!F58+Siwan!F58+Sitamarhi!F58+Sheohar!F58+Sheikhpura!F58+Saran!F58+Samastipur!F58+Saharsa!F58+Rohtas!F58+Purnia!F58+'Patna (U)'!F58+'Patna (R)'!F58+Nawada!F58+Nalanda!F58+Muzafferpur!F58+Munger!F58+Madhubani!F58+Madhepura!F58+Lakhisarai!F58+Kishanganj!F58+Khagaria!F58+Katihar!F58+Kaimur!F58+Jehanabad!F58+Jamui!F58+Gopalganj!F58+Gaya!F58+'East Champaran'!F58+Darbhanga!F58+Buxer!F58+Bhojpur!F58+Bhagalpur!F58+Begusarai!F58+Banka!F58+Aurangabad!F58+Arwal!F58+Araria!F58</f>
        <v>13.809999999999999</v>
      </c>
      <c r="G58" s="309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1"/>
      <c r="S58" s="3"/>
      <c r="T58" s="3"/>
      <c r="U58" s="3"/>
    </row>
    <row r="59" spans="1:21" ht="25.5">
      <c r="A59" s="286">
        <v>2.12</v>
      </c>
      <c r="B59" s="37" t="s">
        <v>141</v>
      </c>
      <c r="C59" s="40"/>
      <c r="D59" s="12"/>
      <c r="E59" s="40"/>
      <c r="F59" s="26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3"/>
      <c r="T59" s="3"/>
      <c r="U59" s="3"/>
    </row>
    <row r="60" spans="1:21" ht="15" customHeight="1">
      <c r="A60" s="287"/>
      <c r="B60" s="15" t="s">
        <v>75</v>
      </c>
      <c r="C60" s="15" t="s">
        <v>42</v>
      </c>
      <c r="D60" s="16">
        <f>+'State Component'!D60+'West Champaran'!D60+Vaishali!D60+Supaul!D60+Siwan!D60+Sitamarhi!D60+Sheohar!D60+Sheikhpura!D60+Saran!D60+Samastipur!D60+Saharsa!D60+Rohtas!D60+Purnia!D60+'Patna (U)'!D60+'Patna (R)'!D60+Nawada!D60+Nalanda!D60+Muzafferpur!D60+Munger!D60+Madhubani!D60+Madhepura!D60+Lakhisarai!D60+Kishanganj!D60+Khagaria!D60+Katihar!D60+Kaimur!D60+Jehanabad!D60+Jamui!D60+Gopalganj!D60+Gaya!D60+'East Champaran'!D60+Darbhanga!D60+Buxer!D60+Bhojpur!D60+Begusarai!D60+Bhagalpur!D60+Banka!D60+Aurangabad!D60+Arwal!D60+Araria!D60</f>
        <v>5735</v>
      </c>
      <c r="E60" s="43" t="s">
        <v>19</v>
      </c>
      <c r="F60" s="32">
        <f>+'State Component'!F60+'West Champaran'!F60+Vaishali!F60+Supaul!F60+Siwan!F60+Sitamarhi!F60+Sheohar!F60+Sheikhpura!F60+Saran!F60+Samastipur!F60+Saharsa!F60+Rohtas!F60+Purnia!F60+'Patna (U)'!F60+'Patna (R)'!F60+Nawada!F60+Nalanda!F60+Muzafferpur!F60+Munger!F60+Madhubani!F60+Madhepura!F60+Lakhisarai!F60+Kishanganj!F60+Khagaria!F60+Katihar!F60+Kaimur!F60+Jehanabad!F60+Jamui!F60+Gopalganj!F60+Gaya!F60+'East Champaran'!F60+Darbhanga!F60+Buxer!F60+Bhojpur!F60+Bhagalpur!F60+Begusarai!F60+Banka!F60+Aurangabad!F60+Arwal!F60+Araria!F60</f>
        <v>3.8310000000000004</v>
      </c>
      <c r="G60" s="304" t="s">
        <v>190</v>
      </c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6"/>
      <c r="S60" s="3"/>
      <c r="T60" s="3"/>
      <c r="U60" s="3"/>
    </row>
    <row r="61" spans="1:21" ht="15" customHeight="1">
      <c r="A61" s="287"/>
      <c r="B61" s="15" t="s">
        <v>76</v>
      </c>
      <c r="C61" s="15" t="s">
        <v>42</v>
      </c>
      <c r="D61" s="16">
        <f>+'State Component'!D61+'West Champaran'!D61+Vaishali!D61+Supaul!D61+Siwan!D61+Sitamarhi!D61+Sheohar!D61+Sheikhpura!D61+Saran!D61+Samastipur!D61+Saharsa!D61+Rohtas!D61+Purnia!D61+'Patna (U)'!D61+'Patna (R)'!D61+Nawada!D61+Nalanda!D61+Muzafferpur!D61+Munger!D61+Madhubani!D61+Madhepura!D61+Lakhisarai!D61+Kishanganj!D61+Khagaria!D61+Katihar!D61+Kaimur!D61+Jehanabad!D61+Jamui!D61+Gopalganj!D61+Gaya!D61+'East Champaran'!D61+Darbhanga!D61+Buxer!D61+Bhojpur!D61+Begusarai!D61+Bhagalpur!D61+Banka!D61+Aurangabad!D61+Arwal!D61+Araria!D61</f>
        <v>1435</v>
      </c>
      <c r="E61" s="43" t="s">
        <v>19</v>
      </c>
      <c r="F61" s="32">
        <f>+'State Component'!F61+'West Champaran'!F61+Vaishali!F61+Supaul!F61+Siwan!F61+Sitamarhi!F61+Sheohar!F61+Sheikhpura!F61+Saran!F61+Samastipur!F61+Saharsa!F61+Rohtas!F61+Purnia!F61+'Patna (U)'!F61+'Patna (R)'!F61+Nawada!F61+Nalanda!F61+Muzafferpur!F61+Munger!F61+Madhubani!F61+Madhepura!F61+Lakhisarai!F61+Kishanganj!F61+Khagaria!F61+Katihar!F61+Kaimur!F61+Jehanabad!F61+Jamui!F61+Gopalganj!F61+Gaya!F61+'East Champaran'!F61+Darbhanga!F61+Buxer!F61+Bhojpur!F61+Bhagalpur!F61+Begusarai!F61+Banka!F61+Aurangabad!F61+Arwal!F61+Araria!F61</f>
        <v>0</v>
      </c>
      <c r="G61" s="30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308"/>
      <c r="S61" s="3"/>
      <c r="T61" s="3"/>
      <c r="U61" s="3"/>
    </row>
    <row r="62" spans="1:21">
      <c r="A62" s="288"/>
      <c r="B62" s="15" t="s">
        <v>96</v>
      </c>
      <c r="C62" s="15" t="s">
        <v>42</v>
      </c>
      <c r="D62" s="16">
        <f>+'State Component'!D62+'West Champaran'!D62+Vaishali!D62+Supaul!D62+Siwan!D62+Sitamarhi!D62+Sheohar!D62+Sheikhpura!D62+Saran!D62+Samastipur!D62+Saharsa!D62+Rohtas!D62+Purnia!D62+'Patna (U)'!D62+'Patna (R)'!D62+Nawada!D62+Nalanda!D62+Muzafferpur!D62+Munger!D62+Madhubani!D62+Madhepura!D62+Lakhisarai!D62+Kishanganj!D62+Khagaria!D62+Katihar!D62+Kaimur!D62+Jehanabad!D62+Jamui!D62+Gopalganj!D62+Gaya!D62+'East Champaran'!D62+Darbhanga!D62+Buxer!D62+Bhojpur!D62+Begusarai!D62+Bhagalpur!D62+Banka!D62+Aurangabad!D62+Arwal!D62+Araria!D62</f>
        <v>2248</v>
      </c>
      <c r="E62" s="43" t="s">
        <v>19</v>
      </c>
      <c r="F62" s="32">
        <f>+'State Component'!F62+'West Champaran'!F62+Vaishali!F62+Supaul!F62+Siwan!F62+Sitamarhi!F62+Sheohar!F62+Sheikhpura!F62+Saran!F62+Samastipur!F62+Saharsa!F62+Rohtas!F62+Purnia!F62+'Patna (U)'!F62+'Patna (R)'!F62+Nawada!F62+Nalanda!F62+Muzafferpur!F62+Munger!F62+Madhubani!F62+Madhepura!F62+Lakhisarai!F62+Kishanganj!F62+Khagaria!F62+Katihar!F62+Kaimur!F62+Jehanabad!F62+Jamui!F62+Gopalganj!F62+Gaya!F62+'East Champaran'!F62+Darbhanga!F62+Buxer!F62+Bhojpur!F62+Bhagalpur!F62+Begusarai!F62+Banka!F62+Aurangabad!F62+Arwal!F62+Araria!F62</f>
        <v>11.245000000000001</v>
      </c>
      <c r="G62" s="309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1"/>
      <c r="S62" s="3"/>
      <c r="T62" s="3"/>
      <c r="U62" s="3"/>
    </row>
    <row r="63" spans="1:21" ht="15" customHeight="1">
      <c r="A63" s="264" t="s">
        <v>161</v>
      </c>
      <c r="B63" s="266"/>
      <c r="C63" s="15"/>
      <c r="D63" s="12">
        <f>+D60+D56+D52</f>
        <v>8497</v>
      </c>
      <c r="E63" s="43"/>
      <c r="F63" s="26">
        <f>SUM(F51:F62)</f>
        <v>30.736000000000001</v>
      </c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3"/>
      <c r="T63" s="3"/>
      <c r="U63" s="3"/>
    </row>
    <row r="64" spans="1:21">
      <c r="A64" s="264" t="s">
        <v>144</v>
      </c>
      <c r="B64" s="266"/>
      <c r="C64" s="40"/>
      <c r="D64" s="79">
        <f>+D63+D50+D37+D24</f>
        <v>161206</v>
      </c>
      <c r="E64" s="40"/>
      <c r="F64" s="92">
        <f>+F63+F50+F37+F24</f>
        <v>6572.1369799999993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3"/>
      <c r="T64" s="3"/>
      <c r="U64" s="3"/>
    </row>
    <row r="65" spans="1:21" ht="30" customHeight="1">
      <c r="A65" s="40">
        <v>3</v>
      </c>
      <c r="B65" s="10" t="s">
        <v>43</v>
      </c>
      <c r="C65" s="40"/>
      <c r="D65" s="12"/>
      <c r="E65" s="40"/>
      <c r="F65" s="26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21" ht="30" customHeight="1">
      <c r="A66" s="40"/>
      <c r="B66" s="15" t="s">
        <v>45</v>
      </c>
      <c r="C66" s="15" t="s">
        <v>116</v>
      </c>
      <c r="D66" s="16">
        <f>+'State Component'!D66+'West Champaran'!D66+Vaishali!D66+Supaul!D66+Siwan!D66+Sitamarhi!D66+Sheohar!D66+Sheikhpura!D66+Saran!D66+Samastipur!D66+Saharsa!D66+Rohtas!D66+Purnia!D66+'Patna (U)'!D66+'Patna (R)'!D66+Nawada!D66+Nalanda!D66+Muzafferpur!D66+Munger!D66+Madhubani!D66+Madhepura!D66+Lakhisarai!D66+Kishanganj!D66+Khagaria!D66+Katihar!D66+Kaimur!D66+Jehanabad!D66+Jamui!D66+Gopalganj!D66+Gaya!D66+'East Champaran'!D66+Darbhanga!D66+Buxer!D66+Bhojpur!D66+Begusarai!D66+Bhagalpur!D66+Banka!D66+Aurangabad!D66+Arwal!D66+Araria!D66</f>
        <v>761416</v>
      </c>
      <c r="E66" s="39" t="s">
        <v>19</v>
      </c>
      <c r="F66" s="32">
        <f>+'State Component'!F66+'West Champaran'!F66+Vaishali!F66+Supaul!F66+Siwan!F66+Sitamarhi!F66+Sheohar!F66+Sheikhpura!F66+Saran!F66+Samastipur!F66+Saharsa!F66+Rohtas!F66+Purnia!F66+'Patna (U)'!F66+'Patna (R)'!F66+Nawada!F66+Nalanda!F66+Muzafferpur!F66+Munger!F66+Madhubani!F66+Madhepura!F66+Lakhisarai!F66+Kishanganj!F66+Khagaria!F66+Katihar!F66+Kaimur!F66+Jehanabad!F66+Jamui!F66+Gopalganj!F66+Gaya!F66+'East Champaran'!F66+Darbhanga!F66+Buxer!F66+Bhojpur!F66+Bhagalpur!F66+Begusarai!F66+Banka!F66+Aurangabad!F66+Arwal!F66+Araria!F66</f>
        <v>228.42479999999998</v>
      </c>
      <c r="G66" s="313" t="s">
        <v>190</v>
      </c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5"/>
    </row>
    <row r="67" spans="1:21" ht="15" customHeight="1">
      <c r="A67" s="40"/>
      <c r="B67" s="15" t="s">
        <v>77</v>
      </c>
      <c r="C67" s="15" t="s">
        <v>116</v>
      </c>
      <c r="D67" s="16">
        <f>+'State Component'!D67+'West Champaran'!D67+Vaishali!D67+Supaul!D67+Siwan!D67+Sitamarhi!D67+Sheohar!D67+Sheikhpura!D67+Saran!D67+Samastipur!D67+Saharsa!D67+Rohtas!D67+Purnia!D67+'Patna (U)'!D67+'Patna (R)'!D67+Nawada!D67+Nalanda!D67+Muzafferpur!D67+Munger!D67+Madhubani!D67+Madhepura!D67+Lakhisarai!D67+Kishanganj!D67+Khagaria!D67+Katihar!D67+Kaimur!D67+Jehanabad!D67+Jamui!D67+Gopalganj!D67+Gaya!D67+'East Champaran'!D67+Darbhanga!D67+Buxer!D67+Bhojpur!D67+Begusarai!D67+Bhagalpur!D67+Banka!D67+Aurangabad!D67+Arwal!D67+Araria!D67</f>
        <v>764416</v>
      </c>
      <c r="E67" s="43" t="s">
        <v>78</v>
      </c>
      <c r="F67" s="32">
        <f>+'State Component'!F67+'West Champaran'!F67+Vaishali!F67+Supaul!F67+Siwan!F67+Sitamarhi!F67+Sheohar!F67+Sheikhpura!F67+Saran!F67+Samastipur!F67+Saharsa!F67+Rohtas!F67+Purnia!F67+'Patna (U)'!F67+'Patna (R)'!F67+Nawada!F67+Nalanda!F67+Muzafferpur!F67+Munger!F67+Madhubani!F67+Madhepura!F67+Lakhisarai!F67+Kishanganj!F67+Khagaria!F67+Katihar!F67+Kaimur!F67+Jehanabad!F67+Jamui!F67+Gopalganj!F67+Gaya!F67+'East Champaran'!F67+Darbhanga!F67+Buxer!F67+Bhojpur!F67+Bhagalpur!F67+Begusarai!F67+Banka!F67+Aurangabad!F67+Arwal!F67+Araria!F67</f>
        <v>229.32479999999995</v>
      </c>
      <c r="G67" s="316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8"/>
    </row>
    <row r="68" spans="1:21">
      <c r="A68" s="261" t="s">
        <v>69</v>
      </c>
      <c r="B68" s="261"/>
      <c r="C68" s="40"/>
      <c r="D68" s="79">
        <f>D66</f>
        <v>761416</v>
      </c>
      <c r="E68" s="40"/>
      <c r="F68" s="81">
        <f>SUM(F66:F67)</f>
        <v>457.74959999999993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3"/>
      <c r="T68" s="3"/>
      <c r="U68" s="3"/>
    </row>
    <row r="69" spans="1:21" ht="15" customHeight="1">
      <c r="A69" s="267">
        <v>4</v>
      </c>
      <c r="B69" s="267" t="s">
        <v>154</v>
      </c>
      <c r="C69" s="43" t="s">
        <v>146</v>
      </c>
      <c r="D69" s="16">
        <f>+'State Component'!D69+'West Champaran'!D69+Vaishali!D69+Supaul!D69+Siwan!D69+Sitamarhi!D69+Sheohar!D69+Sheikhpura!D69+Saran!D69+Samastipur!D69+Saharsa!D69+Rohtas!D69+Purnia!D69+'Patna (U)'!D69+'Patna (R)'!D69+Nawada!D69+Nalanda!D69+Muzafferpur!D69+Munger!D69+Madhubani!D69+Madhepura!D69+Lakhisarai!D69+Kishanganj!D69+Khagaria!D69+Katihar!D69+Kaimur!D69+Jehanabad!D69+Jamui!D69+Gopalganj!D69+Gaya!D69+'East Champaran'!D69+Darbhanga!D69+Buxer!D69+Bhojpur!D69+Begusarai!D69+Bhagalpur!D69+Banka!D69+Aurangabad!D69+Arwal!D69+Araria!D69</f>
        <v>2987293</v>
      </c>
      <c r="E69" s="319" t="s">
        <v>17</v>
      </c>
      <c r="F69" s="32">
        <f>+'State Component'!F69+'West Champaran'!F69+Vaishali!F69+Supaul!F69+Siwan!F69+Sitamarhi!F69+Sheohar!F69+Sheikhpura!F69+Saran!F69+Samastipur!F69+Saharsa!F69+Rohtas!F69+Purnia!F69+'Patna (U)'!F69+'Patna (R)'!F69+Nawada!F69+Nalanda!F69+Muzafferpur!F69+Munger!F69+Madhubani!F69+Madhepura!F69+Lakhisarai!F69+Kishanganj!F69+Khagaria!F69+Katihar!F69+Kaimur!F69+Jehanabad!F69+Jamui!F69+Gopalganj!F69+Gaya!F69+'East Champaran'!F69+Darbhanga!F69+Buxer!F69+Bhojpur!F69+Bhagalpur!F69+Begusarai!F69+Banka!F69+Aurangabad!F69+Arwal!F69+Araria!F69</f>
        <v>4480.9025000000001</v>
      </c>
      <c r="G69" s="277" t="s">
        <v>190</v>
      </c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9"/>
      <c r="S69" s="3"/>
      <c r="T69" s="3"/>
      <c r="U69" s="3"/>
    </row>
    <row r="70" spans="1:21">
      <c r="A70" s="268"/>
      <c r="B70" s="268"/>
      <c r="C70" s="43" t="s">
        <v>147</v>
      </c>
      <c r="D70" s="16">
        <f>+'State Component'!D70+'West Champaran'!D70+Vaishali!D70+Supaul!D70+Siwan!D70+Sitamarhi!D70+Sheohar!D70+Sheikhpura!D70+Saran!D70+Samastipur!D70+Saharsa!D70+Rohtas!D70+Purnia!D70+'Patna (U)'!D70+'Patna (R)'!D70+Nawada!D70+Nalanda!D70+Muzafferpur!D70+Munger!D70+Madhubani!D70+Madhepura!D70+Lakhisarai!D70+Kishanganj!D70+Khagaria!D70+Katihar!D70+Kaimur!D70+Jehanabad!D70+Jamui!D70+Gopalganj!D70+Gaya!D70+'East Champaran'!D70+Darbhanga!D70+Buxer!D70+Bhojpur!D70+Begusarai!D70+Bhagalpur!D70+Banka!D70+Aurangabad!D70+Arwal!D70+Araria!D70</f>
        <v>2813493</v>
      </c>
      <c r="E70" s="320"/>
      <c r="F70" s="32">
        <f>+'State Component'!F70+'West Champaran'!F70+Vaishali!F70+Supaul!F70+Siwan!F70+Sitamarhi!F70+Sheohar!F70+Sheikhpura!F70+Saran!F70+Samastipur!F70+Saharsa!F70+Rohtas!F70+Purnia!F70+'Patna (U)'!F70+'Patna (R)'!F70+Nawada!F70+Nalanda!F70+Muzafferpur!F70+Munger!F70+Madhubani!F70+Madhepura!F70+Lakhisarai!F70+Kishanganj!F70+Khagaria!F70+Katihar!F70+Kaimur!F70+Jehanabad!F70+Jamui!F70+Gopalganj!F70+Gaya!F70+'East Champaran'!F70+Darbhanga!F70+Buxer!F70+Bhojpur!F70+Bhagalpur!F70+Begusarai!F70+Banka!F70+Aurangabad!F70+Arwal!F70+Araria!F70</f>
        <v>4220.2650000000003</v>
      </c>
      <c r="G70" s="280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2"/>
      <c r="S70" s="3"/>
      <c r="T70" s="3"/>
      <c r="U70" s="3"/>
    </row>
    <row r="71" spans="1:21" ht="15" customHeight="1">
      <c r="A71" s="268"/>
      <c r="B71" s="268"/>
      <c r="C71" s="43" t="s">
        <v>148</v>
      </c>
      <c r="D71" s="16">
        <f>+'State Component'!D71+'West Champaran'!D71+Vaishali!D71+Supaul!D71+Siwan!D71+Sitamarhi!D71+Sheohar!D71+Sheikhpura!D71+Saran!D71+Samastipur!D71+Saharsa!D71+Rohtas!D71+Purnia!D71+'Patna (U)'!D71+'Patna (R)'!D71+Nawada!D71+Nalanda!D71+Muzafferpur!D71+Munger!D71+Madhubani!D71+Madhepura!D71+Lakhisarai!D71+Kishanganj!D71+Khagaria!D71+Katihar!D71+Kaimur!D71+Jehanabad!D71+Jamui!D71+Gopalganj!D71+Gaya!D71+'East Champaran'!D71+Darbhanga!D71+Buxer!D71+Bhojpur!D71+Begusarai!D71+Bhagalpur!D71+Banka!D71+Aurangabad!D71+Arwal!D71+Araria!D71</f>
        <v>2910527</v>
      </c>
      <c r="E71" s="320"/>
      <c r="F71" s="32">
        <f>+'State Component'!F71+'West Champaran'!F71+Vaishali!F71+Supaul!F71+Siwan!F71+Sitamarhi!F71+Sheohar!F71+Sheikhpura!F71+Saran!F71+Samastipur!F71+Saharsa!F71+Rohtas!F71+Purnia!F71+'Patna (U)'!F71+'Patna (R)'!F71+Nawada!F71+Nalanda!F71+Muzafferpur!F71+Munger!F71+Madhubani!F71+Madhepura!F71+Lakhisarai!F71+Kishanganj!F71+Khagaria!F71+Katihar!F71+Kaimur!F71+Jehanabad!F71+Jamui!F71+Gopalganj!F71+Gaya!F71+'East Champaran'!F71+Darbhanga!F71+Buxer!F71+Bhojpur!F71+Bhagalpur!F71+Begusarai!F71+Banka!F71+Aurangabad!F71+Arwal!F71+Araria!F71</f>
        <v>4365.7419</v>
      </c>
      <c r="G71" s="280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2"/>
      <c r="S71" s="3"/>
      <c r="T71" s="3"/>
      <c r="U71" s="3"/>
    </row>
    <row r="72" spans="1:21">
      <c r="A72" s="268"/>
      <c r="B72" s="268"/>
      <c r="C72" s="43" t="s">
        <v>149</v>
      </c>
      <c r="D72" s="16">
        <f>+'State Component'!D72+'West Champaran'!D72+Vaishali!D72+Supaul!D72+Siwan!D72+Sitamarhi!D72+Sheohar!D72+Sheikhpura!D72+Saran!D72+Samastipur!D72+Saharsa!D72+Rohtas!D72+Purnia!D72+'Patna (U)'!D72+'Patna (R)'!D72+Nawada!D72+Nalanda!D72+Muzafferpur!D72+Munger!D72+Madhubani!D72+Madhepura!D72+Lakhisarai!D72+Kishanganj!D72+Khagaria!D72+Katihar!D72+Kaimur!D72+Jehanabad!D72+Jamui!D72+Gopalganj!D72+Gaya!D72+'East Champaran'!D72+Darbhanga!D72+Buxer!D72+Bhojpur!D72+Begusarai!D72+Bhagalpur!D72+Banka!D72+Aurangabad!D72+Arwal!D72+Araria!D72</f>
        <v>2862000</v>
      </c>
      <c r="E72" s="320"/>
      <c r="F72" s="32">
        <f>+'State Component'!F72+'West Champaran'!F72+Vaishali!F72+Supaul!F72+Siwan!F72+Sitamarhi!F72+Sheohar!F72+Sheikhpura!F72+Saran!F72+Samastipur!F72+Saharsa!F72+Rohtas!F72+Purnia!F72+'Patna (U)'!F72+'Patna (R)'!F72+Nawada!F72+Nalanda!F72+Muzafferpur!F72+Munger!F72+Madhubani!F72+Madhepura!F72+Lakhisarai!F72+Kishanganj!F72+Khagaria!F72+Katihar!F72+Kaimur!F72+Jehanabad!F72+Jamui!F72+Gopalganj!F72+Gaya!F72+'East Champaran'!F72+Darbhanga!F72+Buxer!F72+Bhojpur!F72+Bhagalpur!F72+Begusarai!F72+Banka!F72+Aurangabad!F72+Arwal!F72+Araria!F72</f>
        <v>4292.954999999999</v>
      </c>
      <c r="G72" s="280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2"/>
      <c r="S72" s="3"/>
      <c r="T72" s="3"/>
      <c r="U72" s="3"/>
    </row>
    <row r="73" spans="1:21" ht="15" customHeight="1">
      <c r="A73" s="268"/>
      <c r="B73" s="268"/>
      <c r="C73" s="43" t="s">
        <v>150</v>
      </c>
      <c r="D73" s="16">
        <f>+'State Component'!D73+'West Champaran'!D73+Vaishali!D73+Supaul!D73+Siwan!D73+Sitamarhi!D73+Sheohar!D73+Sheikhpura!D73+Saran!D73+Samastipur!D73+Saharsa!D73+Rohtas!D73+Purnia!D73+'Patna (U)'!D73+'Patna (R)'!D73+Nawada!D73+Nalanda!D73+Muzafferpur!D73+Munger!D73+Madhubani!D73+Madhepura!D73+Lakhisarai!D73+Kishanganj!D73+Khagaria!D73+Katihar!D73+Kaimur!D73+Jehanabad!D73+Jamui!D73+Gopalganj!D73+Gaya!D73+'East Champaran'!D73+Darbhanga!D73+Buxer!D73+Bhojpur!D73+Begusarai!D73+Bhagalpur!D73+Banka!D73+Aurangabad!D73+Arwal!D73+Araria!D73</f>
        <v>2743672</v>
      </c>
      <c r="E73" s="321"/>
      <c r="F73" s="32">
        <f>+'State Component'!F73+'West Champaran'!F73+Vaishali!F73+Supaul!F73+Siwan!F73+Sitamarhi!F73+Sheohar!F73+Sheikhpura!F73+Saran!F73+Samastipur!F73+Saharsa!F73+Rohtas!F73+Purnia!F73+'Patna (U)'!F73+'Patna (R)'!F73+Nawada!F73+Nalanda!F73+Muzafferpur!F73+Munger!F73+Madhubani!F73+Madhepura!F73+Lakhisarai!F73+Kishanganj!F73+Khagaria!F73+Katihar!F73+Kaimur!F73+Jehanabad!F73+Jamui!F73+Gopalganj!F73+Gaya!F73+'East Champaran'!F73+Darbhanga!F73+Buxer!F73+Bhojpur!F73+Bhagalpur!F73+Begusarai!F73+Banka!F73+Aurangabad!F73+Arwal!F73+Araria!F73</f>
        <v>4115.4450000000006</v>
      </c>
      <c r="G73" s="283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5"/>
      <c r="S73" s="3"/>
      <c r="T73" s="3"/>
      <c r="U73" s="3"/>
    </row>
    <row r="74" spans="1:21">
      <c r="A74" s="264" t="s">
        <v>162</v>
      </c>
      <c r="B74" s="265"/>
      <c r="C74" s="266"/>
      <c r="D74" s="60">
        <f>D69+D70+D71+D72+D73</f>
        <v>14316985</v>
      </c>
      <c r="E74" s="43"/>
      <c r="F74" s="54">
        <f>F69+F70+F71+F72+F73</f>
        <v>21475.309399999998</v>
      </c>
      <c r="G74" s="244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6"/>
      <c r="S74" s="3"/>
      <c r="T74" s="3"/>
      <c r="U74" s="3"/>
    </row>
    <row r="75" spans="1:21">
      <c r="A75" s="262">
        <v>4.01</v>
      </c>
      <c r="B75" s="262" t="s">
        <v>155</v>
      </c>
      <c r="C75" s="43" t="s">
        <v>151</v>
      </c>
      <c r="D75" s="16">
        <f>+'State Component'!D75+'West Champaran'!D75+Vaishali!D75+Supaul!D75+Siwan!D75+Sitamarhi!D75+Sheohar!D75+Sheikhpura!D75+Saran!D75+Samastipur!D75+Saharsa!D75+Rohtas!D75+Purnia!D75+'Patna (U)'!D75+'Patna (R)'!D75+Nawada!D75+Nalanda!D75+Muzafferpur!D75+Munger!D75+Madhubani!D75+Madhepura!D75+Lakhisarai!D75+Kishanganj!D75+Khagaria!D75+Katihar!D75+Kaimur!D75+Jehanabad!D75+Jamui!D75+Gopalganj!D75+Gaya!D75+'East Champaran'!D75+Darbhanga!D75+Buxer!D75+Bhojpur!D75+Begusarai!D75+Bhagalpur!D75+Banka!D75+Aurangabad!D75+Arwal!D75+Araria!D75</f>
        <v>2243006</v>
      </c>
      <c r="E75" s="319" t="s">
        <v>17</v>
      </c>
      <c r="F75" s="32">
        <f>+'State Component'!F75+'West Champaran'!F75+Vaishali!F75+Supaul!F75+Siwan!F75+Sitamarhi!F75+Sheohar!F75+Sheikhpura!F75+Saran!F75+Samastipur!F75+Saharsa!F75+Rohtas!F75+Purnia!F75+'Patna (U)'!F75+'Patna (R)'!F75+Nawada!F75+Nalanda!F75+Muzafferpur!F75+Munger!F75+Madhubani!F75+Madhepura!F75+Lakhisarai!F75+Kishanganj!F75+Khagaria!F75+Katihar!F75+Kaimur!F75+Jehanabad!F75+Jamui!F75+Gopalganj!F75+Gaya!F75+'East Champaran'!F75+Darbhanga!F75+Buxer!F75+Bhojpur!F75+Bhagalpur!F75+Begusarai!F75+Banka!F75+Aurangabad!F75+Arwal!F75+Araria!F75</f>
        <v>5607.442</v>
      </c>
      <c r="G75" s="277" t="s">
        <v>190</v>
      </c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9"/>
      <c r="S75" s="3"/>
      <c r="T75" s="3"/>
      <c r="U75" s="3"/>
    </row>
    <row r="76" spans="1:21" ht="15.75" customHeight="1">
      <c r="A76" s="262"/>
      <c r="B76" s="262"/>
      <c r="C76" s="43" t="s">
        <v>152</v>
      </c>
      <c r="D76" s="16">
        <f>+'State Component'!D76+'West Champaran'!D76+Vaishali!D76+Supaul!D76+Siwan!D76+Sitamarhi!D76+Sheohar!D76+Sheikhpura!D76+Saran!D76+Samastipur!D76+Saharsa!D76+Rohtas!D76+Purnia!D76+'Patna (U)'!D76+'Patna (R)'!D76+Nawada!D76+Nalanda!D76+Muzafferpur!D76+Munger!D76+Madhubani!D76+Madhepura!D76+Lakhisarai!D76+Kishanganj!D76+Khagaria!D76+Katihar!D76+Kaimur!D76+Jehanabad!D76+Jamui!D76+Gopalganj!D76+Gaya!D76+'East Champaran'!D76+Darbhanga!D76+Buxer!D76+Bhojpur!D76+Begusarai!D76+Bhagalpur!D76+Banka!D76+Aurangabad!D76+Arwal!D76+Araria!D76</f>
        <v>2055796</v>
      </c>
      <c r="E76" s="320"/>
      <c r="F76" s="32">
        <f>+'State Component'!F76+'West Champaran'!F76+Vaishali!F76+Supaul!F76+Siwan!F76+Sitamarhi!F76+Sheohar!F76+Sheikhpura!F76+Saran!F76+Samastipur!F76+Saharsa!F76+Rohtas!F76+Purnia!F76+'Patna (U)'!F76+'Patna (R)'!F76+Nawada!F76+Nalanda!F76+Muzafferpur!F76+Munger!F76+Madhubani!F76+Madhepura!F76+Lakhisarai!F76+Kishanganj!F76+Khagaria!F76+Katihar!F76+Kaimur!F76+Jehanabad!F76+Jamui!F76+Gopalganj!F76+Gaya!F76+'East Champaran'!F76+Darbhanga!F76+Buxer!F76+Bhojpur!F76+Bhagalpur!F76+Begusarai!F76+Banka!F76+Aurangabad!F76+Arwal!F76+Araria!F76</f>
        <v>5139.4860000000026</v>
      </c>
      <c r="G76" s="280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2"/>
      <c r="S76" s="3"/>
      <c r="T76" s="3"/>
      <c r="U76" s="3"/>
    </row>
    <row r="77" spans="1:21" ht="15.75" customHeight="1">
      <c r="A77" s="262"/>
      <c r="B77" s="262"/>
      <c r="C77" s="43" t="s">
        <v>153</v>
      </c>
      <c r="D77" s="16">
        <f>+'State Component'!D77+'West Champaran'!D77+Vaishali!D77+Supaul!D77+Siwan!D77+Sitamarhi!D77+Sheohar!D77+Sheikhpura!D77+Saran!D77+Samastipur!D77+Saharsa!D77+Rohtas!D77+Purnia!D77+'Patna (U)'!D77+'Patna (R)'!D77+Nawada!D77+Nalanda!D77+Muzafferpur!D77+Munger!D77+Madhubani!D77+Madhepura!D77+Lakhisarai!D77+Kishanganj!D77+Khagaria!D77+Katihar!D77+Kaimur!D77+Jehanabad!D77+Jamui!D77+Gopalganj!D77+Gaya!D77+'East Champaran'!D77+Darbhanga!D77+Buxer!D77+Bhojpur!D77+Begusarai!D77+Bhagalpur!D77+Banka!D77+Aurangabad!D77+Arwal!D77+Araria!D77</f>
        <v>1675669</v>
      </c>
      <c r="E77" s="321"/>
      <c r="F77" s="32">
        <f>+'State Component'!F77+'West Champaran'!F77+Vaishali!F77+Supaul!F77+Siwan!F77+Sitamarhi!F77+Sheohar!F77+Sheikhpura!F77+Saran!F77+Samastipur!F77+Saharsa!F77+Rohtas!F77+Purnia!F77+'Patna (U)'!F77+'Patna (R)'!F77+Nawada!F77+Nalanda!F77+Muzafferpur!F77+Munger!F77+Madhubani!F77+Madhepura!F77+Lakhisarai!F77+Kishanganj!F77+Khagaria!F77+Katihar!F77+Kaimur!F77+Jehanabad!F77+Jamui!F77+Gopalganj!F77+Gaya!F77+'East Champaran'!F77+Darbhanga!F77+Buxer!F77+Bhojpur!F77+Bhagalpur!F77+Begusarai!F77+Banka!F77+Aurangabad!F77+Arwal!F77+Araria!F77</f>
        <v>4197.3095000000003</v>
      </c>
      <c r="G77" s="283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5"/>
      <c r="S77" s="3"/>
      <c r="T77" s="3"/>
      <c r="U77" s="3"/>
    </row>
    <row r="78" spans="1:21">
      <c r="A78" s="264" t="s">
        <v>162</v>
      </c>
      <c r="B78" s="265"/>
      <c r="C78" s="266"/>
      <c r="D78" s="61">
        <f>D75+D76+D77</f>
        <v>5974471</v>
      </c>
      <c r="E78" s="43"/>
      <c r="F78" s="36">
        <f>F75+F76+F77</f>
        <v>14944.237500000003</v>
      </c>
      <c r="G78" s="244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6"/>
      <c r="S78" s="3"/>
      <c r="T78" s="3"/>
      <c r="U78" s="3"/>
    </row>
    <row r="79" spans="1:21" ht="30">
      <c r="A79" s="38"/>
      <c r="B79" s="49" t="s">
        <v>156</v>
      </c>
      <c r="C79" s="4" t="s">
        <v>37</v>
      </c>
      <c r="D79" s="16">
        <f>+'State Component'!D79+'West Champaran'!D79+Vaishali!D79+Supaul!D79+Siwan!D79+Sitamarhi!D79+Sheohar!D79+Sheikhpura!D79+Saran!D79+Samastipur!D79+Saharsa!D79+Rohtas!D79+Purnia!D79+'Patna (U)'!D79+'Patna (R)'!D79+Nawada!D79+Nalanda!D79+Muzafferpur!D79+Munger!D79+Madhubani!D79+Madhepura!D79+Lakhisarai!D79+Kishanganj!D79+Khagaria!D79+Katihar!D79+Kaimur!D79+Jehanabad!D79+Jamui!D79+Gopalganj!D79+Gaya!D79+'East Champaran'!D79+Darbhanga!D79+Buxer!D79+Bhojpur!D79+Begusarai!D79+Bhagalpur!D79+Banka!D79+Aurangabad!D79+Arwal!D79+Araria!D79</f>
        <v>7825</v>
      </c>
      <c r="E79" s="43" t="s">
        <v>19</v>
      </c>
      <c r="F79" s="32">
        <f>+'State Component'!F79+'West Champaran'!F79+Vaishali!F79+Supaul!F79+Siwan!F79+Sitamarhi!F79+Sheohar!F79+Sheikhpura!F79+Saran!F79+Samastipur!F79+Saharsa!F79+Rohtas!F79+Purnia!F79+'Patna (U)'!F79+'Patna (R)'!F79+Nawada!F79+Nalanda!F79+Muzafferpur!F79+Munger!F79+Madhubani!F79+Madhepura!F79+Lakhisarai!F79+Kishanganj!F79+Khagaria!F79+Katihar!F79+Kaimur!F79+Jehanabad!F79+Jamui!F79+Gopalganj!F79+Gaya!F79+'East Champaran'!F79+Darbhanga!F79+Buxer!F79+Bhojpur!F79+Bhagalpur!F79+Begusarai!F79+Banka!F79+Aurangabad!F79+Arwal!F79+Araria!F79</f>
        <v>14.458</v>
      </c>
      <c r="G79" s="277" t="s">
        <v>190</v>
      </c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9"/>
      <c r="S79" s="3"/>
      <c r="T79" s="3"/>
      <c r="U79" s="3"/>
    </row>
    <row r="80" spans="1:21" ht="30">
      <c r="A80" s="43"/>
      <c r="B80" s="4" t="s">
        <v>157</v>
      </c>
      <c r="C80" s="4"/>
      <c r="D80" s="16">
        <f>+'State Component'!D80+'West Champaran'!D80+Vaishali!D80+Supaul!D80+Siwan!D80+Sitamarhi!D80+Sheohar!D80+Sheikhpura!D80+Saran!D80+Samastipur!D80+Saharsa!D80+Rohtas!D80+Purnia!D80+'Patna (U)'!D80+'Patna (R)'!D80+Nawada!D80+Nalanda!D80+Muzafferpur!D80+Munger!D80+Madhubani!D80+Madhepura!D80+Lakhisarai!D80+Kishanganj!D80+Khagaria!D80+Katihar!D80+Kaimur!D80+Jehanabad!D80+Jamui!D80+Gopalganj!D80+Gaya!D80+'East Champaran'!D80+Darbhanga!D80+Buxer!D80+Bhojpur!D80+Begusarai!D80+Bhagalpur!D80+Banka!D80+Aurangabad!D80+Arwal!D80+Araria!D80</f>
        <v>5474</v>
      </c>
      <c r="E80" s="43" t="s">
        <v>19</v>
      </c>
      <c r="F80" s="32">
        <f>+'State Component'!F80+'West Champaran'!F80+Vaishali!F80+Supaul!F80+Siwan!F80+Sitamarhi!F80+Sheohar!F80+Sheikhpura!F80+Saran!F80+Samastipur!F80+Saharsa!F80+Rohtas!F80+Purnia!F80+'Patna (U)'!F80+'Patna (R)'!F80+Nawada!F80+Nalanda!F80+Muzafferpur!F80+Munger!F80+Madhubani!F80+Madhepura!F80+Lakhisarai!F80+Kishanganj!F80+Khagaria!F80+Katihar!F80+Kaimur!F80+Jehanabad!F80+Jamui!F80+Gopalganj!F80+Gaya!F80+'East Champaran'!F80+Darbhanga!F80+Buxer!F80+Bhojpur!F80+Bhagalpur!F80+Begusarai!F80+Banka!F80+Aurangabad!F80+Arwal!F80+Araria!F80</f>
        <v>11.888999999999999</v>
      </c>
      <c r="G80" s="283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5"/>
      <c r="S80" s="3"/>
      <c r="T80" s="3"/>
      <c r="U80" s="3"/>
    </row>
    <row r="81" spans="1:21" ht="23.25" customHeight="1">
      <c r="A81" s="261" t="s">
        <v>162</v>
      </c>
      <c r="B81" s="261"/>
      <c r="C81" s="40"/>
      <c r="D81" s="12">
        <f>D80+D79</f>
        <v>13299</v>
      </c>
      <c r="E81" s="40"/>
      <c r="F81" s="17">
        <f>F80+F79</f>
        <v>26.347000000000001</v>
      </c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3"/>
      <c r="T81" s="3"/>
      <c r="U81" s="3"/>
    </row>
    <row r="82" spans="1:21" ht="23.25" customHeight="1">
      <c r="A82" s="264" t="s">
        <v>163</v>
      </c>
      <c r="B82" s="265"/>
      <c r="C82" s="266"/>
      <c r="D82" s="93">
        <f>D81+D78+D74</f>
        <v>20304755</v>
      </c>
      <c r="E82" s="40"/>
      <c r="F82" s="92">
        <f>F81+F78+F74</f>
        <v>36445.893900000003</v>
      </c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"/>
      <c r="T82" s="3"/>
      <c r="U82" s="3"/>
    </row>
    <row r="83" spans="1:21" ht="23.25" customHeight="1">
      <c r="A83" s="43">
        <v>5</v>
      </c>
      <c r="B83" s="19" t="s">
        <v>80</v>
      </c>
      <c r="C83" s="4"/>
      <c r="D83" s="18"/>
      <c r="E83" s="43"/>
      <c r="F83" s="25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3"/>
      <c r="T83" s="3"/>
      <c r="U83" s="3"/>
    </row>
    <row r="84" spans="1:21" ht="32.25" customHeight="1">
      <c r="A84" s="43"/>
      <c r="B84" s="4" t="s">
        <v>81</v>
      </c>
      <c r="C84" s="4" t="s">
        <v>48</v>
      </c>
      <c r="D84" s="16">
        <f>+'State Component'!D84+'West Champaran'!D84+Vaishali!D84+Supaul!D84+Siwan!D84+Sitamarhi!D84+Sheohar!D84+Sheikhpura!D84+Saran!D84+Samastipur!D84+Saharsa!D84+Rohtas!D84+Purnia!D84+'Patna (U)'!D84+'Patna (R)'!D84+Nawada!D84+Nalanda!D84+Muzafferpur!D84+Munger!D84+Madhubani!D84+Madhepura!D84+Lakhisarai!D84+Kishanganj!D84+Khagaria!D84+Katihar!D84+Kaimur!D84+Jehanabad!D84+Jamui!D84+Gopalganj!D84+Gaya!D84+'East Champaran'!D84+Darbhanga!D84+Buxer!D84+Bhojpur!D84+Begusarai!D84+Bhagalpur!D84+Banka!D84+Aurangabad!D84+Arwal!D84+Araria!D84</f>
        <v>0</v>
      </c>
      <c r="E84" s="267" t="s">
        <v>17</v>
      </c>
      <c r="F84" s="32">
        <f>+'State Component'!F84+'West Champaran'!F84+Vaishali!F84+Supaul!F84+Siwan!F84+Sitamarhi!F84+Sheohar!F84+Sheikhpura!F84+Saran!F84+Samastipur!F84+Saharsa!F84+Rohtas!F84+Purnia!F84+'Patna (U)'!F84+'Patna (R)'!F84+Nawada!F84+Nalanda!F84+Muzafferpur!F84+Munger!F84+Madhubani!F84+Madhepura!F84+Lakhisarai!F84+Kishanganj!F84+Khagaria!F84+Katihar!F84+Kaimur!F84+Jehanabad!F84+Jamui!F84+Gopalganj!F84+Gaya!F84+'East Champaran'!F84+Darbhanga!F84+Buxer!F84+Bhojpur!F84+Bhagalpur!F84+Begusarai!F84+Banka!F84+Aurangabad!F84+Arwal!F84+Araria!F84</f>
        <v>0</v>
      </c>
      <c r="G84" s="273"/>
      <c r="H84" s="273"/>
      <c r="I84" s="273"/>
      <c r="J84" s="273"/>
      <c r="K84" s="273"/>
      <c r="L84" s="273"/>
      <c r="M84" s="42"/>
      <c r="N84" s="42"/>
      <c r="O84" s="42"/>
      <c r="P84" s="5"/>
      <c r="Q84" s="5"/>
      <c r="R84" s="5"/>
      <c r="S84" s="3"/>
      <c r="T84" s="3"/>
      <c r="U84" s="3"/>
    </row>
    <row r="85" spans="1:21" ht="28.5" customHeight="1">
      <c r="A85" s="43"/>
      <c r="B85" s="4" t="s">
        <v>84</v>
      </c>
      <c r="C85" s="4" t="s">
        <v>42</v>
      </c>
      <c r="D85" s="16">
        <f>+'State Component'!D85+'West Champaran'!D85+Vaishali!D85+Supaul!D85+Siwan!D85+Sitamarhi!D85+Sheohar!D85+Sheikhpura!D85+Saran!D85+Samastipur!D85+Saharsa!D85+Rohtas!D85+Purnia!D85+'Patna (U)'!D85+'Patna (R)'!D85+Nawada!D85+Nalanda!D85+Muzafferpur!D85+Munger!D85+Madhubani!D85+Madhepura!D85+Lakhisarai!D85+Kishanganj!D85+Khagaria!D85+Katihar!D85+Kaimur!D85+Jehanabad!D85+Jamui!D85+Gopalganj!D85+Gaya!D85+'East Champaran'!D85+Darbhanga!D85+Buxer!D85+Bhojpur!D85+Begusarai!D85+Bhagalpur!D85+Banka!D85+Aurangabad!D85+Arwal!D85+Araria!D85</f>
        <v>20291456</v>
      </c>
      <c r="E85" s="268"/>
      <c r="F85" s="32">
        <f>+'State Component'!F85+'West Champaran'!F85+Vaishali!F85+Supaul!F85+Siwan!F85+Sitamarhi!F85+Sheohar!F85+Sheikhpura!F85+Saran!F85+Samastipur!F85+Saharsa!F85+Rohtas!F85+Purnia!F85+'Patna (U)'!F85+'Patna (R)'!F85+Nawada!F85+Nalanda!F85+Muzafferpur!F85+Munger!F85+Madhubani!F85+Madhepura!F85+Lakhisarai!F85+Kishanganj!F85+Khagaria!F85+Katihar!F85+Kaimur!F85+Jehanabad!F85+Jamui!F85+Gopalganj!F85+Gaya!F85+'East Champaran'!F85+Darbhanga!F85+Buxer!F85+Bhojpur!F85+Bhagalpur!F85+Begusarai!F85+Banka!F85+Aurangabad!F85+Arwal!F85+Araria!F85</f>
        <v>5072.8050000000003</v>
      </c>
      <c r="G85" s="277" t="s">
        <v>190</v>
      </c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9"/>
      <c r="S85" s="3"/>
      <c r="T85" s="3"/>
      <c r="U85" s="3"/>
    </row>
    <row r="86" spans="1:21">
      <c r="A86" s="43"/>
      <c r="B86" s="4" t="s">
        <v>82</v>
      </c>
      <c r="C86" s="4" t="s">
        <v>83</v>
      </c>
      <c r="D86" s="16">
        <f>+'State Component'!D86+'West Champaran'!D86+Vaishali!D86+Supaul!D86+Siwan!D86+Sitamarhi!D86+Sheohar!D86+Sheikhpura!D86+Saran!D86+Samastipur!D86+Saharsa!D86+Rohtas!D86+Purnia!D86+'Patna (U)'!D86+'Patna (R)'!D86+Nawada!D86+Nalanda!D86+Muzafferpur!D86+Munger!D86+Madhubani!D86+Madhepura!D86+Lakhisarai!D86+Kishanganj!D86+Khagaria!D86+Katihar!D86+Kaimur!D86+Jehanabad!D86+Jamui!D86+Gopalganj!D86+Gaya!D86+'East Champaran'!D86+Darbhanga!D86+Buxer!D86+Bhojpur!D86+Begusarai!D86+Bhagalpur!D86+Banka!D86+Aurangabad!D86+Arwal!D86+Araria!D86</f>
        <v>384998</v>
      </c>
      <c r="E86" s="268"/>
      <c r="F86" s="32">
        <f>+'State Component'!F86+'West Champaran'!F86+Vaishali!F86+Supaul!F86+Siwan!F86+Sitamarhi!F86+Sheohar!F86+Sheikhpura!F86+Saran!F86+Samastipur!F86+Saharsa!F86+Rohtas!F86+Purnia!F86+'Patna (U)'!F86+'Patna (R)'!F86+Nawada!F86+Nalanda!F86+Muzafferpur!F86+Munger!F86+Madhubani!F86+Madhepura!F86+Lakhisarai!F86+Kishanganj!F86+Khagaria!F86+Katihar!F86+Kaimur!F86+Jehanabad!F86+Jamui!F86+Gopalganj!F86+Gaya!F86+'East Champaran'!F86+Darbhanga!F86+Buxer!F86+Bhojpur!F86+Bhagalpur!F86+Begusarai!F86+Banka!F86+Aurangabad!F86+Arwal!F86+Araria!F86</f>
        <v>59.507900000000014</v>
      </c>
      <c r="G86" s="280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2"/>
      <c r="S86" s="3"/>
      <c r="T86" s="3"/>
      <c r="U86" s="3"/>
    </row>
    <row r="87" spans="1:21">
      <c r="A87" s="43"/>
      <c r="B87" s="4" t="s">
        <v>124</v>
      </c>
      <c r="C87" s="4" t="s">
        <v>48</v>
      </c>
      <c r="D87" s="16">
        <f>+'State Component'!D87+'West Champaran'!D87+Vaishali!D87+Supaul!D87+Siwan!D87+Sitamarhi!D87+Sheohar!D87+Sheikhpura!D87+Saran!D87+Samastipur!D87+Saharsa!D87+Rohtas!D87+Purnia!D87+'Patna (U)'!D87+'Patna (R)'!D87+Nawada!D87+Nalanda!D87+Muzafferpur!D87+Munger!D87+Madhubani!D87+Madhepura!D87+Lakhisarai!D87+Kishanganj!D87+Khagaria!D87+Katihar!D87+Kaimur!D87+Jehanabad!D87+Jamui!D87+Gopalganj!D87+Gaya!D87+'East Champaran'!D87+Darbhanga!D87+Buxer!D87+Bhojpur!D87+Begusarai!D87+Bhagalpur!D87+Banka!D87+Aurangabad!D87+Arwal!D87+Araria!D87</f>
        <v>103969</v>
      </c>
      <c r="E87" s="268"/>
      <c r="F87" s="32">
        <f>+'State Component'!F87+'West Champaran'!F87+Vaishali!F87+Supaul!F87+Siwan!F87+Sitamarhi!F87+Sheohar!F87+Sheikhpura!F87+Saran!F87+Samastipur!F87+Saharsa!F87+Rohtas!F87+Purnia!F87+'Patna (U)'!F87+'Patna (R)'!F87+Nawada!F87+Nalanda!F87+Muzafferpur!F87+Munger!F87+Madhubani!F87+Madhepura!F87+Lakhisarai!F87+Kishanganj!F87+Khagaria!F87+Katihar!F87+Kaimur!F87+Jehanabad!F87+Jamui!F87+Gopalganj!F87+Gaya!F87+'East Champaran'!F87+Darbhanga!F87+Buxer!F87+Bhojpur!F87+Bhagalpur!F87+Begusarai!F87+Banka!F87+Aurangabad!F87+Arwal!F87+Araria!F87</f>
        <v>15.568399999999999</v>
      </c>
      <c r="G87" s="280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2"/>
      <c r="S87" s="3"/>
      <c r="T87" s="3"/>
      <c r="U87" s="3"/>
    </row>
    <row r="88" spans="1:21">
      <c r="A88" s="43"/>
      <c r="B88" s="4" t="s">
        <v>125</v>
      </c>
      <c r="C88" s="4" t="s">
        <v>48</v>
      </c>
      <c r="D88" s="16">
        <f>+'State Component'!D88+'West Champaran'!D88+Vaishali!D88+Supaul!D88+Siwan!D88+Sitamarhi!D88+Sheohar!D88+Sheikhpura!D88+Saran!D88+Samastipur!D88+Saharsa!D88+Rohtas!D88+Purnia!D88+'Patna (U)'!D88+'Patna (R)'!D88+Nawada!D88+Nalanda!D88+Muzafferpur!D88+Munger!D88+Madhubani!D88+Madhepura!D88+Lakhisarai!D88+Kishanganj!D88+Khagaria!D88+Katihar!D88+Kaimur!D88+Jehanabad!D88+Jamui!D88+Gopalganj!D88+Gaya!D88+'East Champaran'!D88+Darbhanga!D88+Buxer!D88+Bhojpur!D88+Begusarai!D88+Bhagalpur!D88+Banka!D88+Aurangabad!D88+Arwal!D88+Araria!D88</f>
        <v>104020</v>
      </c>
      <c r="E88" s="268"/>
      <c r="F88" s="32">
        <f>+'State Component'!F88+'West Champaran'!F88+Vaishali!F88+Supaul!F88+Siwan!F88+Sitamarhi!F88+Sheohar!F88+Sheikhpura!F88+Saran!F88+Samastipur!F88+Saharsa!F88+Rohtas!F88+Purnia!F88+'Patna (U)'!F88+'Patna (R)'!F88+Nawada!F88+Nalanda!F88+Muzafferpur!F88+Munger!F88+Madhubani!F88+Madhepura!F88+Lakhisarai!F88+Kishanganj!F88+Khagaria!F88+Katihar!F88+Kaimur!F88+Jehanabad!F88+Jamui!F88+Gopalganj!F88+Gaya!F88+'East Champaran'!F88+Darbhanga!F88+Buxer!F88+Bhojpur!F88+Bhagalpur!F88+Begusarai!F88+Banka!F88+Aurangabad!F88+Arwal!F88+Araria!F88</f>
        <v>779.73399999999981</v>
      </c>
      <c r="G88" s="280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2"/>
      <c r="S88" s="3"/>
      <c r="T88" s="3"/>
      <c r="U88" s="3"/>
    </row>
    <row r="89" spans="1:21">
      <c r="A89" s="43"/>
      <c r="B89" s="4" t="s">
        <v>126</v>
      </c>
      <c r="C89" s="4" t="s">
        <v>48</v>
      </c>
      <c r="D89" s="16">
        <f>+'State Component'!D89+'West Champaran'!D89+Vaishali!D89+Supaul!D89+Siwan!D89+Sitamarhi!D89+Sheohar!D89+Sheikhpura!D89+Saran!D89+Samastipur!D89+Saharsa!D89+Rohtas!D89+Purnia!D89+'Patna (U)'!D89+'Patna (R)'!D89+Nawada!D89+Nalanda!D89+Muzafferpur!D89+Munger!D89+Madhubani!D89+Madhepura!D89+Lakhisarai!D89+Kishanganj!D89+Khagaria!D89+Katihar!D89+Kaimur!D89+Jehanabad!D89+Jamui!D89+Gopalganj!D89+Gaya!D89+'East Champaran'!D89+Darbhanga!D89+Buxer!D89+Bhojpur!D89+Begusarai!D89+Bhagalpur!D89+Banka!D89+Aurangabad!D89+Arwal!D89+Araria!D89</f>
        <v>30887</v>
      </c>
      <c r="E89" s="322"/>
      <c r="F89" s="32">
        <f>+'State Component'!F89+'West Champaran'!F89+Vaishali!F89+Supaul!F89+Siwan!F89+Sitamarhi!F89+Sheohar!F89+Sheikhpura!F89+Saran!F89+Samastipur!F89+Saharsa!F89+Rohtas!F89+Purnia!F89+'Patna (U)'!F89+'Patna (R)'!F89+Nawada!F89+Nalanda!F89+Muzafferpur!F89+Munger!F89+Madhubani!F89+Madhepura!F89+Lakhisarai!F89+Kishanganj!F89+Khagaria!F89+Katihar!F89+Kaimur!F89+Jehanabad!F89+Jamui!F89+Gopalganj!F89+Gaya!F89+'East Champaran'!F89+Darbhanga!F89+Buxer!F89+Bhojpur!F89+Bhagalpur!F89+Begusarai!F89+Banka!F89+Aurangabad!F89+Arwal!F89+Araria!F89</f>
        <v>308.87000000000006</v>
      </c>
      <c r="G89" s="283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5"/>
      <c r="S89" s="3"/>
      <c r="T89" s="3"/>
      <c r="U89" s="3"/>
    </row>
    <row r="90" spans="1:21">
      <c r="A90" s="261" t="s">
        <v>69</v>
      </c>
      <c r="B90" s="261"/>
      <c r="C90" s="40"/>
      <c r="D90" s="12">
        <f>SUM(D84:D89)</f>
        <v>20915330</v>
      </c>
      <c r="E90" s="40"/>
      <c r="F90" s="26">
        <f>SUM(F84:F89)</f>
        <v>6236.4852999999994</v>
      </c>
      <c r="G90" s="244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6"/>
      <c r="S90" s="3"/>
      <c r="T90" s="3"/>
      <c r="U90" s="3"/>
    </row>
    <row r="91" spans="1:21">
      <c r="A91" s="267">
        <v>6</v>
      </c>
      <c r="B91" s="267" t="s">
        <v>23</v>
      </c>
      <c r="C91" s="37" t="s">
        <v>127</v>
      </c>
      <c r="D91" s="16">
        <f>+'State Component'!D91+'West Champaran'!D91+Vaishali!D91+Supaul!D91+Siwan!D91+Sitamarhi!D91+Sheohar!D91+Sheikhpura!D91+Saran!D91+Samastipur!D91+Saharsa!D91+Rohtas!D91+Purnia!D91+'Patna (U)'!D91+'Patna (R)'!D91+Nawada!D91+Nalanda!D91+Muzafferpur!D91+Munger!D91+Madhubani!D91+Madhepura!D91+Lakhisarai!D91+Kishanganj!D91+Khagaria!D91+Katihar!D91+Kaimur!D91+Jehanabad!D91+Jamui!D91+Gopalganj!D91+Gaya!D91+'East Champaran'!D91+Darbhanga!D91+Buxer!D91+Bhojpur!D91+Begusarai!D91+Bhagalpur!D91+Banka!D91+Aurangabad!D91+Arwal!D91+Araria!D91</f>
        <v>2860027</v>
      </c>
      <c r="E91" s="312" t="s">
        <v>35</v>
      </c>
      <c r="F91" s="32">
        <f>+'State Component'!F91+'West Champaran'!F91+Vaishali!F91+Supaul!F91+Siwan!F91+Sitamarhi!F91+Sheohar!F91+Sheikhpura!F91+Saran!F91+Samastipur!F91+Saharsa!F91+Rohtas!F91+Purnia!F91+'Patna (U)'!F91+'Patna (R)'!F91+Nawada!F91+Nalanda!F91+Muzafferpur!F91+Munger!F91+Madhubani!F91+Madhepura!F91+Lakhisarai!F91+Kishanganj!F91+Khagaria!F91+Katihar!F91+Kaimur!F91+Jehanabad!F91+Jamui!F91+Gopalganj!F91+Gaya!F91+'East Champaran'!F91+Darbhanga!F91+Buxer!F91+Bhojpur!F91+Bhagalpur!F91+Begusarai!F91+Banka!F91+Aurangabad!F91+Arwal!F91+Araria!F91</f>
        <v>11440.107999999998</v>
      </c>
      <c r="G91" s="277" t="s">
        <v>190</v>
      </c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9"/>
      <c r="S91" s="3"/>
      <c r="T91" s="3"/>
      <c r="U91" s="3"/>
    </row>
    <row r="92" spans="1:21" ht="25.5">
      <c r="A92" s="268"/>
      <c r="B92" s="268"/>
      <c r="C92" s="37" t="s">
        <v>128</v>
      </c>
      <c r="D92" s="16">
        <f>+'State Component'!D92+'West Champaran'!D92+Vaishali!D92+Supaul!D92+Siwan!D92+Sitamarhi!D92+Sheohar!D92+Sheikhpura!D92+Saran!D92+Samastipur!D92+Saharsa!D92+Rohtas!D92+Purnia!D92+'Patna (U)'!D92+'Patna (R)'!D92+Nawada!D92+Nalanda!D92+Muzafferpur!D92+Munger!D92+Madhubani!D92+Madhepura!D92+Lakhisarai!D92+Kishanganj!D92+Khagaria!D92+Katihar!D92+Kaimur!D92+Jehanabad!D92+Jamui!D92+Gopalganj!D92+Gaya!D92+'East Champaran'!D92+Darbhanga!D92+Buxer!D92+Bhojpur!D92+Begusarai!D92+Bhagalpur!D92+Banka!D92+Aurangabad!D92+Arwal!D92+Araria!D92</f>
        <v>1131100</v>
      </c>
      <c r="E92" s="312"/>
      <c r="F92" s="32">
        <f>+'State Component'!F92+'West Champaran'!F92+Vaishali!F92+Supaul!F92+Siwan!F92+Sitamarhi!F92+Sheohar!F92+Sheikhpura!F92+Saran!F92+Samastipur!F92+Saharsa!F92+Rohtas!F92+Purnia!F92+'Patna (U)'!F92+'Patna (R)'!F92+Nawada!F92+Nalanda!F92+Muzafferpur!F92+Munger!F92+Madhubani!F92+Madhepura!F92+Lakhisarai!F92+Kishanganj!F92+Khagaria!F92+Katihar!F92+Kaimur!F92+Jehanabad!F92+Jamui!F92+Gopalganj!F92+Gaya!F92+'East Champaran'!F92+Darbhanga!F92+Buxer!F92+Bhojpur!F92+Bhagalpur!F92+Begusarai!F92+Banka!F92+Aurangabad!F92+Arwal!F92+Araria!F92</f>
        <v>4524.4000000000005</v>
      </c>
      <c r="G92" s="280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2"/>
      <c r="S92" s="3"/>
      <c r="T92" s="3"/>
      <c r="U92" s="3"/>
    </row>
    <row r="93" spans="1:21" ht="25.5">
      <c r="A93" s="268"/>
      <c r="B93" s="268"/>
      <c r="C93" s="37" t="s">
        <v>129</v>
      </c>
      <c r="D93" s="16">
        <f>+'State Component'!D93+'West Champaran'!D93+Vaishali!D93+Supaul!D93+Siwan!D93+Sitamarhi!D93+Sheohar!D93+Sheikhpura!D93+Saran!D93+Samastipur!D93+Saharsa!D93+Rohtas!D93+Purnia!D93+'Patna (U)'!D93+'Patna (R)'!D93+Nawada!D93+Nalanda!D93+Muzafferpur!D93+Munger!D93+Madhubani!D93+Madhepura!D93+Lakhisarai!D93+Kishanganj!D93+Khagaria!D93+Katihar!D93+Kaimur!D93+Jehanabad!D93+Jamui!D93+Gopalganj!D93+Gaya!D93+'East Champaran'!D93+Darbhanga!D93+Buxer!D93+Bhojpur!D93+Begusarai!D93+Bhagalpur!D93+Banka!D93+Aurangabad!D93+Arwal!D93+Araria!D93</f>
        <v>104448</v>
      </c>
      <c r="E93" s="312"/>
      <c r="F93" s="32">
        <f>+'State Component'!F93+'West Champaran'!F93+Vaishali!F93+Supaul!F93+Siwan!F93+Sitamarhi!F93+Sheohar!F93+Sheikhpura!F93+Saran!F93+Samastipur!F93+Saharsa!F93+Rohtas!F93+Purnia!F93+'Patna (U)'!F93+'Patna (R)'!F93+Nawada!F93+Nalanda!F93+Muzafferpur!F93+Munger!F93+Madhubani!F93+Madhepura!F93+Lakhisarai!F93+Kishanganj!F93+Khagaria!F93+Katihar!F93+Kaimur!F93+Jehanabad!F93+Jamui!F93+Gopalganj!F93+Gaya!F93+'East Champaran'!F93+Darbhanga!F93+Buxer!F93+Bhojpur!F93+Bhagalpur!F93+Begusarai!F93+Banka!F93+Aurangabad!F93+Arwal!F93+Araria!F93</f>
        <v>417.79199999999986</v>
      </c>
      <c r="G93" s="280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2"/>
      <c r="S93" s="3"/>
      <c r="T93" s="3"/>
      <c r="U93" s="3"/>
    </row>
    <row r="94" spans="1:21" ht="25.5">
      <c r="A94" s="268"/>
      <c r="B94" s="268"/>
      <c r="C94" s="37" t="s">
        <v>130</v>
      </c>
      <c r="D94" s="16">
        <f>+'State Component'!D94+'West Champaran'!D94+Vaishali!D94+Supaul!D94+Siwan!D94+Sitamarhi!D94+Sheohar!D94+Sheikhpura!D94+Saran!D94+Samastipur!D94+Saharsa!D94+Rohtas!D94+Purnia!D94+'Patna (U)'!D94+'Patna (R)'!D94+Nawada!D94+Nalanda!D94+Muzafferpur!D94+Munger!D94+Madhubani!D94+Madhepura!D94+Lakhisarai!D94+Kishanganj!D94+Khagaria!D94+Katihar!D94+Kaimur!D94+Jehanabad!D94+Jamui!D94+Gopalganj!D94+Gaya!D94+'East Champaran'!D94+Darbhanga!D94+Buxer!D94+Bhojpur!D94+Begusarai!D94+Bhagalpur!D94+Banka!D94+Aurangabad!D94+Arwal!D94+Araria!D94</f>
        <v>3589809</v>
      </c>
      <c r="E94" s="312"/>
      <c r="F94" s="32">
        <f>+'State Component'!F94+'West Champaran'!F94+Vaishali!F94+Supaul!F94+Siwan!F94+Sitamarhi!F94+Sheohar!F94+Sheikhpura!F94+Saran!F94+Samastipur!F94+Saharsa!F94+Rohtas!F94+Purnia!F94+'Patna (U)'!F94+'Patna (R)'!F94+Nawada!F94+Nalanda!F94+Muzafferpur!F94+Munger!F94+Madhubani!F94+Madhepura!F94+Lakhisarai!F94+Kishanganj!F94+Khagaria!F94+Katihar!F94+Kaimur!F94+Jehanabad!F94+Jamui!F94+Gopalganj!F94+Gaya!F94+'East Champaran'!F94+Darbhanga!F94+Buxer!F94+Bhojpur!F94+Bhagalpur!F94+Begusarai!F94+Banka!F94+Aurangabad!F94+Arwal!F94+Araria!F94</f>
        <v>14359.236000000001</v>
      </c>
      <c r="G94" s="283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5"/>
      <c r="S94" s="3"/>
      <c r="T94" s="3"/>
      <c r="U94" s="3"/>
    </row>
    <row r="95" spans="1:21">
      <c r="A95" s="261" t="s">
        <v>69</v>
      </c>
      <c r="B95" s="261"/>
      <c r="C95" s="40"/>
      <c r="D95" s="79">
        <f>SUM(D91:D94)</f>
        <v>7685384</v>
      </c>
      <c r="E95" s="40"/>
      <c r="F95" s="81">
        <f>SUM(F91:F94)</f>
        <v>30741.536</v>
      </c>
      <c r="G95" s="244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6"/>
      <c r="S95" s="3"/>
      <c r="T95" s="3"/>
      <c r="U95" s="3"/>
    </row>
    <row r="96" spans="1:21" ht="30">
      <c r="A96" s="262">
        <v>7</v>
      </c>
      <c r="B96" s="263" t="s">
        <v>40</v>
      </c>
      <c r="C96" s="44" t="s">
        <v>38</v>
      </c>
      <c r="D96" s="16">
        <f>+'State Component'!D96+'West Champaran'!D96+Vaishali!D96+Supaul!D96+Siwan!D96+Sitamarhi!D96+Sheohar!D96+Sheikhpura!D96+Saran!D96+Samastipur!D96+Saharsa!D96+Rohtas!D96+Purnia!D96+'Patna (U)'!D96+'Patna (R)'!D96+Nawada!D96+Nalanda!D96+Muzafferpur!D96+Munger!D96+Madhubani!D96+Madhepura!D96+Lakhisarai!D96+Kishanganj!D96+Khagaria!D96+Katihar!D96+Kaimur!D96+Jehanabad!D96+Jamui!D96+Gopalganj!D96+Gaya!D96+'East Champaran'!D96+Darbhanga!D96+Buxer!D96+Bhojpur!D96+Begusarai!D96+Bhagalpur!D96+Banka!D96+Aurangabad!D96+Arwal!D96+Araria!D96</f>
        <v>0</v>
      </c>
      <c r="E96" s="262" t="s">
        <v>19</v>
      </c>
      <c r="F96" s="32">
        <f>+'State Component'!F96+'West Champaran'!F96+Vaishali!F96+Supaul!F96+Siwan!F96+Sitamarhi!F96+Sheohar!F96+Sheikhpura!F96+Saran!F96+Samastipur!F96+Saharsa!F96+Rohtas!F96+Purnia!F96+'Patna (U)'!F96+'Patna (R)'!F96+Nawada!F96+Nalanda!F96+Muzafferpur!F96+Munger!F96+Madhubani!F96+Madhepura!F96+Lakhisarai!F96+Kishanganj!F96+Khagaria!F96+Katihar!F96+Kaimur!F96+Jehanabad!F96+Jamui!F96+Gopalganj!F96+Gaya!F96+'East Champaran'!F96+Darbhanga!F96+Buxer!F96+Bhojpur!F96+Bhagalpur!F96+Begusarai!F96+Banka!F96+Aurangabad!F96+Arwal!F96+Araria!F96</f>
        <v>0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3"/>
      <c r="T96" s="3"/>
      <c r="U96" s="3"/>
    </row>
    <row r="97" spans="1:21" ht="30">
      <c r="A97" s="262"/>
      <c r="B97" s="263"/>
      <c r="C97" s="44" t="s">
        <v>39</v>
      </c>
      <c r="D97" s="16">
        <f>+'State Component'!D97+'West Champaran'!D97+Vaishali!D97+Supaul!D97+Siwan!D97+Sitamarhi!D97+Sheohar!D97+Sheikhpura!D97+Saran!D97+Samastipur!D97+Saharsa!D97+Rohtas!D97+Purnia!D97+'Patna (U)'!D97+'Patna (R)'!D97+Nawada!D97+Nalanda!D97+Muzafferpur!D97+Munger!D97+Madhubani!D97+Madhepura!D97+Lakhisarai!D97+Kishanganj!D97+Khagaria!D97+Katihar!D97+Kaimur!D97+Jehanabad!D97+Jamui!D97+Gopalganj!D97+Gaya!D97+'East Champaran'!D97+Darbhanga!D97+Buxer!D97+Bhojpur!D97+Begusarai!D97+Bhagalpur!D97+Banka!D97+Aurangabad!D97+Arwal!D97+Araria!D97</f>
        <v>0</v>
      </c>
      <c r="E97" s="262"/>
      <c r="F97" s="32">
        <f>+'State Component'!F97+'West Champaran'!F97+Vaishali!F97+Supaul!F97+Siwan!F97+Sitamarhi!F97+Sheohar!F97+Sheikhpura!F97+Saran!F97+Samastipur!F97+Saharsa!F97+Rohtas!F97+Purnia!F97+'Patna (U)'!F97+'Patna (R)'!F97+Nawada!F97+Nalanda!F97+Muzafferpur!F97+Munger!F97+Madhubani!F97+Madhepura!F97+Lakhisarai!F97+Kishanganj!F97+Khagaria!F97+Katihar!F97+Kaimur!F97+Jehanabad!F97+Jamui!F97+Gopalganj!F97+Gaya!F97+'East Champaran'!F97+Darbhanga!F97+Buxer!F97+Bhojpur!F97+Bhagalpur!F97+Begusarai!F97+Banka!F97+Aurangabad!F97+Arwal!F97+Araria!F97</f>
        <v>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3"/>
      <c r="T97" s="3"/>
      <c r="U97" s="3"/>
    </row>
    <row r="98" spans="1:21">
      <c r="A98" s="261" t="s">
        <v>69</v>
      </c>
      <c r="B98" s="261"/>
      <c r="C98" s="40"/>
      <c r="D98" s="12">
        <f>SUM(D96:D97)</f>
        <v>0</v>
      </c>
      <c r="E98" s="40"/>
      <c r="F98" s="26">
        <f>SUM(F96:F97)</f>
        <v>0</v>
      </c>
      <c r="G98" s="244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6"/>
      <c r="S98" s="3"/>
      <c r="T98" s="3"/>
      <c r="U98" s="3"/>
    </row>
    <row r="99" spans="1:21" ht="30">
      <c r="A99" s="262">
        <v>8</v>
      </c>
      <c r="B99" s="263" t="s">
        <v>18</v>
      </c>
      <c r="C99" s="44" t="s">
        <v>38</v>
      </c>
      <c r="D99" s="16">
        <f>+'State Component'!D99+'West Champaran'!D99+Vaishali!D99+Supaul!D99+Siwan!D99+Sitamarhi!D99+Sheohar!D99+Sheikhpura!D99+Saran!D99+Samastipur!D99+Saharsa!D99+Rohtas!D99+Purnia!D99+'Patna (U)'!D99+'Patna (R)'!D99+Nawada!D99+Nalanda!D99+Muzafferpur!D99+Munger!D99+Madhubani!D99+Madhepura!D99+Lakhisarai!D99+Kishanganj!D99+Khagaria!D99+Katihar!D99+Kaimur!D99+Jehanabad!D99+Jamui!D99+Gopalganj!D99+Gaya!D99+'East Champaran'!D99+Darbhanga!D99+Buxer!D99+Bhojpur!D99+Begusarai!D99+Bhagalpur!D99+Banka!D99+Aurangabad!D99+Arwal!D99+Araria!D99</f>
        <v>73082</v>
      </c>
      <c r="E99" s="262" t="s">
        <v>19</v>
      </c>
      <c r="F99" s="32">
        <f>+'State Component'!F99+'West Champaran'!F99+Vaishali!F99+Supaul!F99+Siwan!F99+Sitamarhi!F99+Sheohar!F99+Sheikhpura!F99+Saran!F99+Samastipur!F99+Saharsa!F99+Rohtas!F99+Purnia!F99+'Patna (U)'!F99+'Patna (R)'!F99+Nawada!F99+Nalanda!F99+Muzafferpur!F99+Munger!F99+Madhubani!F99+Madhepura!F99+Lakhisarai!F99+Kishanganj!F99+Khagaria!F99+Katihar!F99+Kaimur!F99+Jehanabad!F99+Jamui!F99+Gopalganj!F99+Gaya!F99+'East Champaran'!F99+Darbhanga!F99+Buxer!F99+Bhojpur!F99+Bhagalpur!F99+Begusarai!F99+Banka!F99+Aurangabad!F99+Arwal!F99+Araria!F99</f>
        <v>3654.1</v>
      </c>
      <c r="G99" s="277" t="s">
        <v>190</v>
      </c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9"/>
      <c r="S99" s="3"/>
      <c r="T99" s="3"/>
      <c r="U99" s="3"/>
    </row>
    <row r="100" spans="1:21" ht="30">
      <c r="A100" s="262"/>
      <c r="B100" s="263"/>
      <c r="C100" s="44" t="s">
        <v>39</v>
      </c>
      <c r="D100" s="16">
        <f>+'State Component'!D100+'West Champaran'!D100+Vaishali!D100+Supaul!D100+Siwan!D100+Sitamarhi!D100+Sheohar!D100+Sheikhpura!D100+Saran!D100+Samastipur!D100+Saharsa!D100+Rohtas!D100+Purnia!D100+'Patna (U)'!D100+'Patna (R)'!D100+Nawada!D100+Nalanda!D100+Muzafferpur!D100+Munger!D100+Madhubani!D100+Madhepura!D100+Lakhisarai!D100+Kishanganj!D100+Khagaria!D100+Katihar!D100+Kaimur!D100+Jehanabad!D100+Jamui!D100+Gopalganj!D100+Gaya!D100+'East Champaran'!D100+Darbhanga!D100+Buxer!D100+Bhojpur!D100+Begusarai!D100+Bhagalpur!D100+Banka!D100+Aurangabad!D100+Arwal!D100+Araria!D100</f>
        <v>30887</v>
      </c>
      <c r="E100" s="262"/>
      <c r="F100" s="32">
        <f>+'State Component'!F100+'West Champaran'!F100+Vaishali!F100+Supaul!F100+Siwan!F100+Sitamarhi!F100+Sheohar!F100+Sheikhpura!F100+Saran!F100+Samastipur!F100+Saharsa!F100+Rohtas!F100+Purnia!F100+'Patna (U)'!F100+'Patna (R)'!F100+Nawada!F100+Nalanda!F100+Muzafferpur!F100+Munger!F100+Madhubani!F100+Madhepura!F100+Lakhisarai!F100+Kishanganj!F100+Khagaria!F100+Katihar!F100+Kaimur!F100+Jehanabad!F100+Jamui!F100+Gopalganj!F100+Gaya!F100+'East Champaran'!F100+Darbhanga!F100+Buxer!F100+Bhojpur!F100+Bhagalpur!F100+Begusarai!F100+Banka!F100+Aurangabad!F100+Arwal!F100+Araria!F100</f>
        <v>2162.0900000000006</v>
      </c>
      <c r="G100" s="283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5"/>
      <c r="S100" s="3"/>
      <c r="T100" s="3"/>
      <c r="U100" s="3"/>
    </row>
    <row r="101" spans="1:21">
      <c r="A101" s="261" t="s">
        <v>69</v>
      </c>
      <c r="B101" s="261"/>
      <c r="C101" s="40"/>
      <c r="D101" s="79">
        <f>SUM(D99:D100)</f>
        <v>103969</v>
      </c>
      <c r="E101" s="40"/>
      <c r="F101" s="81">
        <f>SUM(F99:F100)</f>
        <v>5816.1900000000005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3"/>
      <c r="T101" s="3"/>
      <c r="U101" s="3"/>
    </row>
    <row r="102" spans="1:21" ht="75">
      <c r="A102" s="43">
        <v>9</v>
      </c>
      <c r="B102" s="44" t="s">
        <v>44</v>
      </c>
      <c r="C102" s="44" t="s">
        <v>48</v>
      </c>
      <c r="D102" s="16">
        <f>+'State Component'!D102+'West Champaran'!D102+Vaishali!D102+Supaul!D102+Siwan!D102+Sitamarhi!D102+Sheohar!D102+Sheikhpura!D102+Saran!D102+Samastipur!D102+Saharsa!D102+Rohtas!D102+Purnia!D102+'Patna (U)'!D102+'Patna (R)'!D102+Nawada!D102+Nalanda!D102+Muzafferpur!D102+Munger!D102+Madhubani!D102+Madhepura!D102+Lakhisarai!D102+Kishanganj!D102+Khagaria!D102+Katihar!D102+Kaimur!D102+Jehanabad!D102+Jamui!D102+Gopalganj!D102+Gaya!D102+'East Champaran'!D102+Darbhanga!D102+Buxer!D102+Bhojpur!D102+Begusarai!D102+Bhagalpur!D102+Banka!D102+Aurangabad!D102+Arwal!D102+Araria!D102</f>
        <v>103969</v>
      </c>
      <c r="E102" s="43" t="s">
        <v>19</v>
      </c>
      <c r="F102" s="32">
        <f>+'State Component'!F102+'West Champaran'!F102+Vaishali!F102+Supaul!F102+Siwan!F102+Sitamarhi!F102+Sheohar!F102+Sheikhpura!F102+Saran!F102+Samastipur!F102+Saharsa!F102+Rohtas!F102+Purnia!F102+'Patna (U)'!F102+'Patna (R)'!F102+Nawada!F102+Nalanda!F102+Muzafferpur!F102+Munger!F102+Madhubani!F102+Madhepura!F102+Lakhisarai!F102+Kishanganj!F102+Khagaria!F102+Katihar!F102+Kaimur!F102+Jehanabad!F102+Jamui!F102+Gopalganj!F102+Gaya!F102+'East Champaran'!F102+Darbhanga!F102+Buxer!F102+Bhojpur!F102+Bhagalpur!F102+Begusarai!F102+Banka!F102+Aurangabad!F102+Arwal!F102+Araria!F102</f>
        <v>465.9246812703787</v>
      </c>
      <c r="G102" s="244" t="s">
        <v>190</v>
      </c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6"/>
      <c r="S102" s="3"/>
      <c r="T102" s="3"/>
      <c r="U102" s="3"/>
    </row>
    <row r="103" spans="1:21">
      <c r="A103" s="261" t="s">
        <v>69</v>
      </c>
      <c r="B103" s="261"/>
      <c r="C103" s="40"/>
      <c r="D103" s="79">
        <f>SUM(D102)</f>
        <v>103969</v>
      </c>
      <c r="E103" s="40"/>
      <c r="F103" s="81">
        <f>F102</f>
        <v>465.9246812703787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3"/>
      <c r="T103" s="3"/>
      <c r="U103" s="3"/>
    </row>
    <row r="104" spans="1:21">
      <c r="A104" s="40">
        <v>10</v>
      </c>
      <c r="B104" s="40" t="s">
        <v>56</v>
      </c>
      <c r="C104" s="264"/>
      <c r="D104" s="265"/>
      <c r="E104" s="265"/>
      <c r="F104" s="266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3"/>
      <c r="T104" s="3"/>
      <c r="U104" s="3"/>
    </row>
    <row r="105" spans="1:21" ht="45">
      <c r="A105" s="43" t="s">
        <v>57</v>
      </c>
      <c r="B105" s="4" t="s">
        <v>20</v>
      </c>
      <c r="C105" s="4" t="s">
        <v>71</v>
      </c>
      <c r="D105" s="16">
        <f>+'State Component'!D105+'West Champaran'!D105+Vaishali!D105+Supaul!D105+Siwan!D105+Sitamarhi!D105+Sheohar!D105+Sheikhpura!D105+Saran!D105+Samastipur!D105+Saharsa!D105+Rohtas!D105+Purnia!D105+'Patna (U)'!D105+'Patna (R)'!D105+Nawada!D105+Nalanda!D105+Muzafferpur!D105+Munger!D105+Madhubani!D105+Madhepura!D105+Lakhisarai!D105+Kishanganj!D105+Khagaria!D105+Katihar!D105+Kaimur!D105+Jehanabad!D105+Jamui!D105+Gopalganj!D105+Gaya!D105+'East Champaran'!D105+Darbhanga!D105+Buxer!D105+Bhojpur!D105+Begusarai!D105+Bhagalpur!D105+Banka!D105+Aurangabad!D105+Arwal!D105+Araria!D105</f>
        <v>39</v>
      </c>
      <c r="E105" s="43" t="s">
        <v>21</v>
      </c>
      <c r="F105" s="32">
        <f>+'State Component'!F105+'West Champaran'!F105+Vaishali!F105+Supaul!F105+Siwan!F105+Sitamarhi!F105+Sheohar!F105+Sheikhpura!F105+Saran!F105+Samastipur!F105+Saharsa!F105+Rohtas!F105+Purnia!F105+'Patna (U)'!F105+'Patna (R)'!F105+Nawada!F105+Nalanda!F105+Muzafferpur!F105+Munger!F105+Madhubani!F105+Madhepura!F105+Lakhisarai!F105+Kishanganj!F105+Khagaria!F105+Katihar!F105+Kaimur!F105+Jehanabad!F105+Jamui!F105+Gopalganj!F105+Gaya!F105+'East Champaran'!F105+Darbhanga!F105+Buxer!F105+Bhojpur!F105+Bhagalpur!F105+Begusarai!F105+Banka!F105+Aurangabad!F105+Arwal!F105+Araria!F105</f>
        <v>128</v>
      </c>
      <c r="G105" s="277" t="s">
        <v>191</v>
      </c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9"/>
      <c r="S105" s="3"/>
      <c r="T105" s="3"/>
      <c r="U105" s="3"/>
    </row>
    <row r="106" spans="1:21" ht="30">
      <c r="A106" s="43" t="s">
        <v>58</v>
      </c>
      <c r="B106" s="4" t="s">
        <v>46</v>
      </c>
      <c r="C106" s="4" t="s">
        <v>71</v>
      </c>
      <c r="D106" s="16">
        <f>+'State Component'!D106+'West Champaran'!D106+Vaishali!D106+Supaul!D106+Siwan!D106+Sitamarhi!D106+Sheohar!D106+Sheikhpura!D106+Saran!D106+Samastipur!D106+Saharsa!D106+Rohtas!D106+Purnia!D106+'Patna (U)'!D106+'Patna (R)'!D106+Nawada!D106+Nalanda!D106+Muzafferpur!D106+Munger!D106+Madhubani!D106+Madhepura!D106+Lakhisarai!D106+Kishanganj!D106+Khagaria!D106+Katihar!D106+Kaimur!D106+Jehanabad!D106+Jamui!D106+Gopalganj!D106+Gaya!D106+'East Champaran'!D106+Darbhanga!D106+Buxer!D106+Bhojpur!D106+Begusarai!D106+Bhagalpur!D106+Banka!D106+Aurangabad!D106+Arwal!D106+Araria!D106</f>
        <v>39</v>
      </c>
      <c r="E106" s="43" t="s">
        <v>19</v>
      </c>
      <c r="F106" s="32">
        <f>+'State Component'!F106+'West Champaran'!F106+Vaishali!F106+Supaul!F106+Siwan!F106+Sitamarhi!F106+Sheohar!F106+Sheikhpura!F106+Saran!F106+Samastipur!F106+Saharsa!F106+Rohtas!F106+Purnia!F106+'Patna (U)'!F106+'Patna (R)'!F106+Nawada!F106+Nalanda!F106+Muzafferpur!F106+Munger!F106+Madhubani!F106+Madhepura!F106+Lakhisarai!F106+Kishanganj!F106+Khagaria!F106+Katihar!F106+Kaimur!F106+Jehanabad!F106+Jamui!F106+Gopalganj!F106+Gaya!F106+'East Champaran'!F106+Darbhanga!F106+Buxer!F106+Bhojpur!F106+Bhagalpur!F106+Begusarai!F106+Banka!F106+Aurangabad!F106+Arwal!F106+Araria!F106</f>
        <v>48</v>
      </c>
      <c r="G106" s="280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2"/>
      <c r="S106" s="3"/>
      <c r="T106" s="3"/>
      <c r="U106" s="3"/>
    </row>
    <row r="107" spans="1:21" ht="30">
      <c r="A107" s="43" t="s">
        <v>59</v>
      </c>
      <c r="B107" s="4" t="s">
        <v>193</v>
      </c>
      <c r="C107" s="4" t="s">
        <v>71</v>
      </c>
      <c r="D107" s="16">
        <f>+'State Component'!D107+'West Champaran'!D107+Vaishali!D107+Supaul!D107+Siwan!D107+Sitamarhi!D107+Sheohar!D107+Sheikhpura!D107+Saran!D107+Samastipur!D107+Saharsa!D107+Rohtas!D107+Purnia!D107+'Patna (U)'!D107+'Patna (R)'!D107+Nawada!D107+Nalanda!D107+Muzafferpur!D107+Munger!D107+Madhubani!D107+Madhepura!D107+Lakhisarai!D107+Kishanganj!D107+Khagaria!D107+Katihar!D107+Kaimur!D107+Jehanabad!D107+Jamui!D107+Gopalganj!D107+Gaya!D107+'East Champaran'!D107+Darbhanga!D107+Buxer!D107+Bhojpur!D107+Begusarai!D107+Bhagalpur!D107+Banka!D107+Aurangabad!D107+Arwal!D107+Araria!D107</f>
        <v>39</v>
      </c>
      <c r="E107" s="43" t="s">
        <v>21</v>
      </c>
      <c r="F107" s="32">
        <f>+'State Component'!F107+'West Champaran'!F107+Vaishali!F107+Supaul!F107+Siwan!F107+Sitamarhi!F107+Sheohar!F107+Sheikhpura!F107+Saran!F107+Samastipur!F107+Saharsa!F107+Rohtas!F107+Purnia!F107+'Patna (U)'!F107+'Patna (R)'!F107+Nawada!F107+Nalanda!F107+Muzafferpur!F107+Munger!F107+Madhubani!F107+Madhepura!F107+Lakhisarai!F107+Kishanganj!F107+Khagaria!F107+Katihar!F107+Kaimur!F107+Jehanabad!F107+Jamui!F107+Gopalganj!F107+Gaya!F107+'East Champaran'!F107+Darbhanga!F107+Buxer!F107+Bhojpur!F107+Bhagalpur!F107+Begusarai!F107+Banka!F107+Aurangabad!F107+Arwal!F107+Araria!F107</f>
        <v>228</v>
      </c>
      <c r="G107" s="280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2"/>
      <c r="S107" s="3"/>
      <c r="T107" s="3"/>
      <c r="U107" s="3"/>
    </row>
    <row r="108" spans="1:21" ht="30">
      <c r="A108" s="43" t="s">
        <v>60</v>
      </c>
      <c r="B108" s="4" t="s">
        <v>47</v>
      </c>
      <c r="C108" s="4" t="s">
        <v>71</v>
      </c>
      <c r="D108" s="16">
        <f>+'State Component'!D108+'West Champaran'!D108+Vaishali!D108+Supaul!D108+Siwan!D108+Sitamarhi!D108+Sheohar!D108+Sheikhpura!D108+Saran!D108+Samastipur!D108+Saharsa!D108+Rohtas!D108+Purnia!D108+'Patna (U)'!D108+'Patna (R)'!D108+Nawada!D108+Nalanda!D108+Muzafferpur!D108+Munger!D108+Madhubani!D108+Madhepura!D108+Lakhisarai!D108+Kishanganj!D108+Khagaria!D108+Katihar!D108+Kaimur!D108+Jehanabad!D108+Jamui!D108+Gopalganj!D108+Gaya!D108+'East Champaran'!D108+Darbhanga!D108+Buxer!D108+Bhojpur!D108+Begusarai!D108+Bhagalpur!D108+Banka!D108+Aurangabad!D108+Arwal!D108+Araria!D108</f>
        <v>39</v>
      </c>
      <c r="E108" s="43" t="s">
        <v>21</v>
      </c>
      <c r="F108" s="32">
        <f>+'State Component'!F108+'West Champaran'!F108+Vaishali!F108+Supaul!F108+Siwan!F108+Sitamarhi!F108+Sheohar!F108+Sheikhpura!F108+Saran!F108+Samastipur!F108+Saharsa!F108+Rohtas!F108+Purnia!F108+'Patna (U)'!F108+'Patna (R)'!F108+Nawada!F108+Nalanda!F108+Muzafferpur!F108+Munger!F108+Madhubani!F108+Madhepura!F108+Lakhisarai!F108+Kishanganj!F108+Khagaria!F108+Katihar!F108+Kaimur!F108+Jehanabad!F108+Jamui!F108+Gopalganj!F108+Gaya!F108+'East Champaran'!F108+Darbhanga!F108+Buxer!F108+Bhojpur!F108+Bhagalpur!F108+Begusarai!F108+Banka!F108+Aurangabad!F108+Arwal!F108+Araria!F108</f>
        <v>475</v>
      </c>
      <c r="G108" s="280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2"/>
      <c r="S108" s="3"/>
      <c r="T108" s="3"/>
      <c r="U108" s="3"/>
    </row>
    <row r="109" spans="1:21" ht="30">
      <c r="A109" s="39" t="s">
        <v>121</v>
      </c>
      <c r="B109" s="4" t="s">
        <v>187</v>
      </c>
      <c r="C109" s="23" t="s">
        <v>123</v>
      </c>
      <c r="D109" s="16">
        <f>+'State Component'!D109+'West Champaran'!D109+Vaishali!D109+Supaul!D109+Siwan!D109+Sitamarhi!D109+Sheohar!D109+Sheikhpura!D109+Saran!D109+Samastipur!D109+Saharsa!D109+Rohtas!D109+Purnia!D109+'Patna (U)'!D109+'Patna (R)'!D109+Nawada!D109+Nalanda!D109+Muzafferpur!D109+Munger!D109+Madhubani!D109+Madhepura!D109+Lakhisarai!D109+Kishanganj!D109+Khagaria!D109+Katihar!D109+Kaimur!D109+Jehanabad!D109+Jamui!D109+Gopalganj!D109+Gaya!D109+'East Champaran'!D109+Darbhanga!D109+Buxer!D109+Bhojpur!D109+Begusarai!D109+Bhagalpur!D109+Banka!D109+Aurangabad!D109+Arwal!D109+Araria!D109</f>
        <v>27</v>
      </c>
      <c r="E109" s="43"/>
      <c r="F109" s="32">
        <f>+'State Component'!F109+'West Champaran'!F109+Vaishali!F109+Supaul!F109+Siwan!F109+Sitamarhi!F109+Sheohar!F109+Sheikhpura!F109+Saran!F109+Samastipur!F109+Saharsa!F109+Rohtas!F109+Purnia!F109+'Patna (U)'!F109+'Patna (R)'!F109+Nawada!F109+Nalanda!F109+Muzafferpur!F109+Munger!F109+Madhubani!F109+Madhepura!F109+Lakhisarai!F109+Kishanganj!F109+Khagaria!F109+Katihar!F109+Kaimur!F109+Jehanabad!F109+Jamui!F109+Gopalganj!F109+Gaya!F109+'East Champaran'!F109+Darbhanga!F109+Buxer!F109+Bhojpur!F109+Bhagalpur!F109+Begusarai!F109+Banka!F109+Aurangabad!F109+Arwal!F109+Araria!F109</f>
        <v>180</v>
      </c>
      <c r="G109" s="283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5"/>
      <c r="S109" s="3"/>
      <c r="T109" s="3"/>
      <c r="U109" s="3"/>
    </row>
    <row r="110" spans="1:21">
      <c r="A110" s="261" t="s">
        <v>69</v>
      </c>
      <c r="B110" s="261"/>
      <c r="C110" s="40"/>
      <c r="D110" s="12">
        <f>D108</f>
        <v>39</v>
      </c>
      <c r="E110" s="40"/>
      <c r="F110" s="26">
        <f>SUM(F105:F109)</f>
        <v>1059</v>
      </c>
      <c r="G110" s="244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6"/>
      <c r="S110" s="3"/>
      <c r="T110" s="3"/>
      <c r="U110" s="3"/>
    </row>
    <row r="111" spans="1:21">
      <c r="A111" s="40">
        <v>11</v>
      </c>
      <c r="B111" s="40" t="s">
        <v>61</v>
      </c>
      <c r="C111" s="4"/>
      <c r="D111" s="18"/>
      <c r="E111" s="43"/>
      <c r="F111" s="28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3"/>
      <c r="T111" s="3"/>
      <c r="U111" s="3"/>
    </row>
    <row r="112" spans="1:21" ht="30">
      <c r="A112" s="43" t="s">
        <v>57</v>
      </c>
      <c r="B112" s="4" t="s">
        <v>72</v>
      </c>
      <c r="C112" s="4" t="s">
        <v>48</v>
      </c>
      <c r="D112" s="16">
        <f>+'State Component'!D112+'West Champaran'!D112+Vaishali!D112+Supaul!D112+Siwan!D112+Sitamarhi!D112+Sheohar!D112+Sheikhpura!D112+Saran!D112+Samastipur!D112+Saharsa!D112+Rohtas!D112+Purnia!D112+'Patna (U)'!D112+'Patna (R)'!D112+Nawada!D112+Nalanda!D112+Muzafferpur!D112+Munger!D112+Madhubani!D112+Madhepura!D112+Lakhisarai!D112+Kishanganj!D112+Khagaria!D112+Katihar!D112+Kaimur!D112+Jehanabad!D112+Jamui!D112+Gopalganj!D112+Gaya!D112+'East Champaran'!D112+Darbhanga!D112+Buxer!D112+Bhojpur!D112+Begusarai!D112+Bhagalpur!D112+Banka!D112+Aurangabad!D112+Arwal!D112+Araria!D112</f>
        <v>81545</v>
      </c>
      <c r="E112" s="43" t="s">
        <v>19</v>
      </c>
      <c r="F112" s="32">
        <f>+'State Component'!F112+'West Champaran'!F112+Vaishali!F112+Supaul!F112+Siwan!F112+Sitamarhi!F112+Sheohar!F112+Sheikhpura!F112+Saran!F112+Samastipur!F112+Saharsa!F112+Rohtas!F112+Purnia!F112+'Patna (U)'!F112+'Patna (R)'!F112+Nawada!F112+Nalanda!F112+Muzafferpur!F112+Munger!F112+Madhubani!F112+Madhepura!F112+Lakhisarai!F112+Kishanganj!F112+Khagaria!F112+Katihar!F112+Kaimur!F112+Jehanabad!F112+Jamui!F112+Gopalganj!F112+Gaya!F112+'East Champaran'!F112+Darbhanga!F112+Buxer!F112+Bhojpur!F112+Bhagalpur!F112+Begusarai!F112+Banka!F112+Aurangabad!F112+Arwal!F112+Araria!F112</f>
        <v>85.478999999999999</v>
      </c>
      <c r="G112" s="277" t="s">
        <v>191</v>
      </c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9"/>
      <c r="S112" s="3"/>
      <c r="T112" s="3"/>
      <c r="U112" s="3"/>
    </row>
    <row r="113" spans="1:21" ht="30">
      <c r="A113" s="43" t="s">
        <v>58</v>
      </c>
      <c r="B113" s="4" t="s">
        <v>49</v>
      </c>
      <c r="C113" s="23" t="s">
        <v>48</v>
      </c>
      <c r="D113" s="16">
        <f>+'State Component'!D113+'West Champaran'!D113+Vaishali!D113+Supaul!D113+Siwan!D113+Sitamarhi!D113+Sheohar!D113+Sheikhpura!D113+Saran!D113+Samastipur!D113+Saharsa!D113+Rohtas!D113+Purnia!D113+'Patna (U)'!D113+'Patna (R)'!D113+Nawada!D113+Nalanda!D113+Muzafferpur!D113+Munger!D113+Madhubani!D113+Madhepura!D113+Lakhisarai!D113+Kishanganj!D113+Khagaria!D113+Katihar!D113+Kaimur!D113+Jehanabad!D113+Jamui!D113+Gopalganj!D113+Gaya!D113+'East Champaran'!D113+Darbhanga!D113+Buxer!D113+Bhojpur!D113+Begusarai!D113+Bhagalpur!D113+Banka!D113+Aurangabad!D113+Arwal!D113+Araria!D113</f>
        <v>103969</v>
      </c>
      <c r="E113" s="43" t="s">
        <v>21</v>
      </c>
      <c r="F113" s="32">
        <f>+'State Component'!F113+'West Champaran'!F113+Vaishali!F113+Supaul!F113+Siwan!F113+Sitamarhi!F113+Sheohar!F113+Sheikhpura!F113+Saran!F113+Samastipur!F113+Saharsa!F113+Rohtas!F113+Purnia!F113+'Patna (U)'!F113+'Patna (R)'!F113+Nawada!F113+Nalanda!F113+Muzafferpur!F113+Munger!F113+Madhubani!F113+Madhepura!F113+Lakhisarai!F113+Kishanganj!F113+Khagaria!F113+Katihar!F113+Kaimur!F113+Jehanabad!F113+Jamui!F113+Gopalganj!F113+Gaya!F113+'East Champaran'!F113+Darbhanga!F113+Buxer!F113+Bhojpur!F113+Bhagalpur!F113+Begusarai!F113+Banka!F113+Aurangabad!F113+Arwal!F113+Araria!F113</f>
        <v>155.83349999999996</v>
      </c>
      <c r="G113" s="280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2"/>
      <c r="S113" s="3"/>
      <c r="T113" s="3"/>
      <c r="U113" s="3"/>
    </row>
    <row r="114" spans="1:21">
      <c r="A114" s="43" t="s">
        <v>59</v>
      </c>
      <c r="B114" s="4" t="s">
        <v>62</v>
      </c>
      <c r="C114" s="4" t="s">
        <v>63</v>
      </c>
      <c r="D114" s="16">
        <f>+'State Component'!D114+'West Champaran'!D114+Vaishali!D114+Supaul!D114+Siwan!D114+Sitamarhi!D114+Sheohar!D114+Sheikhpura!D114+Saran!D114+Samastipur!D114+Saharsa!D114+Rohtas!D114+Purnia!D114+'Patna (U)'!D114+'Patna (R)'!D114+Nawada!D114+Nalanda!D114+Muzafferpur!D114+Munger!D114+Madhubani!D114+Madhepura!D114+Lakhisarai!D114+Kishanganj!D114+Khagaria!D114+Katihar!D114+Kaimur!D114+Jehanabad!D114+Jamui!D114+Gopalganj!D114+Gaya!D114+'East Champaran'!D114+Darbhanga!D114+Buxer!D114+Bhojpur!D114+Begusarai!D114+Bhagalpur!D114+Banka!D114+Aurangabad!D114+Arwal!D114+Araria!D114</f>
        <v>538</v>
      </c>
      <c r="E114" s="43" t="s">
        <v>21</v>
      </c>
      <c r="F114" s="32">
        <f>+'State Component'!F114+'West Champaran'!F114+Vaishali!F114+Supaul!F114+Siwan!F114+Sitamarhi!F114+Sheohar!F114+Sheikhpura!F114+Saran!F114+Samastipur!F114+Saharsa!F114+Rohtas!F114+Purnia!F114+'Patna (U)'!F114+'Patna (R)'!F114+Nawada!F114+Nalanda!F114+Muzafferpur!F114+Munger!F114+Madhubani!F114+Madhepura!F114+Lakhisarai!F114+Kishanganj!F114+Khagaria!F114+Katihar!F114+Kaimur!F114+Jehanabad!F114+Jamui!F114+Gopalganj!F114+Gaya!F114+'East Champaran'!F114+Darbhanga!F114+Buxer!F114+Bhojpur!F114+Bhagalpur!F114+Begusarai!F114+Banka!F114+Aurangabad!F114+Arwal!F114+Araria!F114</f>
        <v>957.6</v>
      </c>
      <c r="G114" s="280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2"/>
      <c r="S114" s="3"/>
      <c r="T114" s="3"/>
      <c r="U114" s="3"/>
    </row>
    <row r="115" spans="1:21" ht="30">
      <c r="A115" s="39" t="s">
        <v>60</v>
      </c>
      <c r="B115" s="23" t="s">
        <v>120</v>
      </c>
      <c r="C115" s="4"/>
      <c r="D115" s="16">
        <f>+'State Component'!D115+'West Champaran'!D115+Vaishali!D115+Supaul!D115+Siwan!D115+Sitamarhi!D115+Sheohar!D115+Sheikhpura!D115+Saran!D115+Samastipur!D115+Saharsa!D115+Rohtas!D115+Purnia!D115+'Patna (U)'!D115+'Patna (R)'!D115+Nawada!D115+Nalanda!D115+Muzafferpur!D115+Munger!D115+Madhubani!D115+Madhepura!D115+Lakhisarai!D115+Kishanganj!D115+Khagaria!D115+Katihar!D115+Kaimur!D115+Jehanabad!D115+Jamui!D115+Gopalganj!D115+Gaya!D115+'East Champaran'!D115+Darbhanga!D115+Buxer!D115+Bhojpur!D115+Begusarai!D115+Bhagalpur!D115+Banka!D115+Aurangabad!D115+Arwal!D115+Araria!D115</f>
        <v>77</v>
      </c>
      <c r="E115" s="43"/>
      <c r="F115" s="32">
        <f>+'State Component'!F115+'West Champaran'!F115+Vaishali!F115+Supaul!F115+Siwan!F115+Sitamarhi!F115+Sheohar!F115+Sheikhpura!F115+Saran!F115+Samastipur!F115+Saharsa!F115+Rohtas!F115+Purnia!F115+'Patna (U)'!F115+'Patna (R)'!F115+Nawada!F115+Nalanda!F115+Muzafferpur!F115+Munger!F115+Madhubani!F115+Madhepura!F115+Lakhisarai!F115+Kishanganj!F115+Khagaria!F115+Katihar!F115+Kaimur!F115+Jehanabad!F115+Jamui!F115+Gopalganj!F115+Gaya!F115+'East Champaran'!F115+Darbhanga!F115+Buxer!F115+Bhojpur!F115+Bhagalpur!F115+Begusarai!F115+Banka!F115+Aurangabad!F115+Arwal!F115+Araria!F115</f>
        <v>52.5</v>
      </c>
      <c r="G115" s="283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5"/>
      <c r="S115" s="3"/>
      <c r="T115" s="3"/>
      <c r="U115" s="3"/>
    </row>
    <row r="116" spans="1:21">
      <c r="A116" s="261" t="s">
        <v>69</v>
      </c>
      <c r="B116" s="261"/>
      <c r="C116" s="40"/>
      <c r="D116" s="12">
        <f>SUM(D112:D115)</f>
        <v>186129</v>
      </c>
      <c r="E116" s="40"/>
      <c r="F116" s="26">
        <f>SUM(F112:F115)</f>
        <v>1251.4124999999999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3"/>
      <c r="T116" s="3"/>
      <c r="U116" s="3"/>
    </row>
    <row r="117" spans="1:21" ht="30">
      <c r="A117" s="40">
        <v>12</v>
      </c>
      <c r="B117" s="19" t="s">
        <v>64</v>
      </c>
      <c r="C117" s="4"/>
      <c r="D117" s="18"/>
      <c r="E117" s="43"/>
      <c r="F117" s="28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3"/>
      <c r="T117" s="3"/>
      <c r="U117" s="3"/>
    </row>
    <row r="118" spans="1:21" ht="30">
      <c r="A118" s="43" t="s">
        <v>57</v>
      </c>
      <c r="B118" s="4" t="s">
        <v>65</v>
      </c>
      <c r="C118" s="4" t="s">
        <v>67</v>
      </c>
      <c r="D118" s="16">
        <f>+'State Component'!D118+'West Champaran'!D118+Vaishali!D118+Supaul!D118+Siwan!D118+Sitamarhi!D118+Sheohar!D118+Sheikhpura!D118+Saran!D118+Samastipur!D118+Saharsa!D118+Rohtas!D118+Purnia!D118+'Patna (U)'!D118+'Patna (R)'!D118+Nawada!D118+Nalanda!D118+Muzafferpur!D118+Munger!D118+Madhubani!D118+Madhepura!D118+Lakhisarai!D118+Kishanganj!D118+Khagaria!D118+Katihar!D118+Kaimur!D118+Jehanabad!D118+Jamui!D118+Gopalganj!D118+Gaya!D118+'East Champaran'!D118+Darbhanga!D118+Buxer!D118+Bhojpur!D118+Begusarai!D118+Bhagalpur!D118+Banka!D118+Aurangabad!D118+Arwal!D118+Araria!D118</f>
        <v>79</v>
      </c>
      <c r="E118" s="43" t="s">
        <v>73</v>
      </c>
      <c r="F118" s="32">
        <f>+'State Component'!F118+'West Champaran'!F118+Vaishali!F118+Supaul!F118+Siwan!F118+Sitamarhi!F118+Sheohar!F118+Sheikhpura!F118+Saran!F118+Samastipur!F118+Saharsa!F118+Rohtas!F118+Purnia!F118+'Patna (U)'!F118+'Patna (R)'!F118+Nawada!F118+Nalanda!F118+Muzafferpur!F118+Munger!F118+Madhubani!F118+Madhepura!F118+Lakhisarai!F118+Kishanganj!F118+Khagaria!F118+Katihar!F118+Kaimur!F118+Jehanabad!F118+Jamui!F118+Gopalganj!F118+Gaya!F118+'East Champaran'!F118+Darbhanga!F118+Buxer!F118+Bhojpur!F118+Bhagalpur!F118+Begusarai!F118+Banka!F118+Aurangabad!F118+Arwal!F118+Araria!F118</f>
        <v>175</v>
      </c>
      <c r="G118" s="277" t="s">
        <v>191</v>
      </c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9"/>
      <c r="S118" s="3"/>
      <c r="T118" s="3"/>
      <c r="U118" s="3"/>
    </row>
    <row r="119" spans="1:21" ht="30">
      <c r="A119" s="43" t="s">
        <v>58</v>
      </c>
      <c r="B119" s="4" t="s">
        <v>68</v>
      </c>
      <c r="C119" s="4" t="s">
        <v>66</v>
      </c>
      <c r="D119" s="16">
        <f>+'State Component'!D119+'West Champaran'!D119+Vaishali!D119+Supaul!D119+Siwan!D119+Sitamarhi!D119+Sheohar!D119+Sheikhpura!D119+Saran!D119+Samastipur!D119+Saharsa!D119+Rohtas!D119+Purnia!D119+'Patna (U)'!D119+'Patna (R)'!D119+Nawada!D119+Nalanda!D119+Muzafferpur!D119+Munger!D119+Madhubani!D119+Madhepura!D119+Lakhisarai!D119+Kishanganj!D119+Khagaria!D119+Katihar!D119+Kaimur!D119+Jehanabad!D119+Jamui!D119+Gopalganj!D119+Gaya!D119+'East Champaran'!D119+Darbhanga!D119+Buxer!D119+Bhojpur!D119+Begusarai!D119+Bhagalpur!D119+Banka!D119+Aurangabad!D119+Arwal!D119+Araria!D119</f>
        <v>6274</v>
      </c>
      <c r="E119" s="43" t="s">
        <v>19</v>
      </c>
      <c r="F119" s="32">
        <f>+'State Component'!F119+'West Champaran'!F119+Vaishali!F119+Supaul!F119+Siwan!F119+Sitamarhi!F119+Sheohar!F119+Sheikhpura!F119+Saran!F119+Samastipur!F119+Saharsa!F119+Rohtas!F119+Purnia!F119+'Patna (U)'!F119+'Patna (R)'!F119+Nawada!F119+Nalanda!F119+Muzafferpur!F119+Munger!F119+Madhubani!F119+Madhepura!F119+Lakhisarai!F119+Kishanganj!F119+Khagaria!F119+Katihar!F119+Kaimur!F119+Jehanabad!F119+Jamui!F119+Gopalganj!F119+Gaya!F119+'East Champaran'!F119+Darbhanga!F119+Buxer!F119+Bhojpur!F119+Bhagalpur!F119+Begusarai!F119+Banka!F119+Aurangabad!F119+Arwal!F119+Araria!F119</f>
        <v>550.13000000000011</v>
      </c>
      <c r="G119" s="283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5"/>
      <c r="S119" s="3"/>
      <c r="T119" s="3"/>
      <c r="U119" s="3"/>
    </row>
    <row r="120" spans="1:21">
      <c r="A120" s="261" t="s">
        <v>69</v>
      </c>
      <c r="B120" s="261"/>
      <c r="C120" s="40"/>
      <c r="D120" s="12">
        <f>SUM(D118:D119)</f>
        <v>6353</v>
      </c>
      <c r="E120" s="40"/>
      <c r="F120" s="27">
        <f>SUM(F118:F119)</f>
        <v>725.13000000000011</v>
      </c>
      <c r="G120" s="244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6"/>
      <c r="S120" s="3"/>
      <c r="T120" s="3"/>
      <c r="U120" s="3"/>
    </row>
    <row r="121" spans="1:21">
      <c r="A121" s="262">
        <v>13</v>
      </c>
      <c r="B121" s="4" t="s">
        <v>53</v>
      </c>
      <c r="C121" s="4" t="s">
        <v>52</v>
      </c>
      <c r="D121" s="69">
        <f>+'State Component'!D121+'West Champaran'!D121+Vaishali!D121+Supaul!D121+Siwan!D121+Sitamarhi!D121+Sheohar!D121+Sheikhpura!D121+Saran!D121+Samastipur!D121+Saharsa!D121+Rohtas!D121+Purnia!D121+'Patna (U)'!D121+'Patna (R)'!D121+Nawada!D121+Nalanda!D121+Muzafferpur!D121+Munger!D121+Madhubani!D121+Madhepura!D121+Lakhisarai!D121+Kishanganj!D121+Khagaria!D121+Katihar!D121+Kaimur!D121+Jehanabad!D121+Jamui!D121+Gopalganj!D121+Gaya!D121+'East Champaran'!D121+Darbhanga!D121+Buxer!D121+Bhojpur!D121+Begusarai!D121+Bhagalpur!D121+Banka!D121+Aurangabad!D121+Arwal!D121+Araria!D121</f>
        <v>537</v>
      </c>
      <c r="E121" s="88" t="s">
        <v>19</v>
      </c>
      <c r="F121" s="78">
        <f>+'State Component'!F121+'West Champaran'!F121+Vaishali!F121+Supaul!F121+Siwan!F121+Sitamarhi!F121+Sheohar!F121+Sheikhpura!F121+Saran!F121+Samastipur!F121+Saharsa!F121+Rohtas!F121+Purnia!F121+'Patna (U)'!F121+'Patna (R)'!F121+Nawada!F121+Nalanda!F121+Muzafferpur!F121+Munger!F121+Madhubani!F121+Madhepura!F121+Lakhisarai!F121+Kishanganj!F121+Khagaria!F121+Katihar!F121+Kaimur!F121+Jehanabad!F121+Jamui!F121+Gopalganj!F121+Gaya!F121+'East Champaran'!F121+Darbhanga!F121+Buxer!F121+Bhojpur!F121+Bhagalpur!F121+Begusarai!F121+Banka!F121+Aurangabad!F121+Arwal!F121+Araria!F121</f>
        <v>268.5</v>
      </c>
      <c r="G121" s="277" t="s">
        <v>190</v>
      </c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300"/>
      <c r="S121" s="3"/>
      <c r="T121" s="3"/>
      <c r="U121" s="3"/>
    </row>
    <row r="122" spans="1:21">
      <c r="A122" s="262"/>
      <c r="B122" s="4" t="s">
        <v>54</v>
      </c>
      <c r="C122" s="4" t="s">
        <v>52</v>
      </c>
      <c r="D122" s="69">
        <f>+'State Component'!D122+'West Champaran'!D122+Vaishali!D122+Supaul!D122+Siwan!D122+Sitamarhi!D122+Sheohar!D122+Sheikhpura!D122+Saran!D122+Samastipur!D122+Saharsa!D122+Rohtas!D122+Purnia!D122+'Patna (U)'!D122+'Patna (R)'!D122+Nawada!D122+Nalanda!D122+Muzafferpur!D122+Munger!D122+Madhubani!D122+Madhepura!D122+Lakhisarai!D122+Kishanganj!D122+Khagaria!D122+Katihar!D122+Kaimur!D122+Jehanabad!D122+Jamui!D122+Gopalganj!D122+Gaya!D122+'East Champaran'!D122+Darbhanga!D122+Buxer!D122+Bhojpur!D122+Begusarai!D122+Bhagalpur!D122+Banka!D122+Aurangabad!D122+Arwal!D122+Araria!D122</f>
        <v>537</v>
      </c>
      <c r="E122" s="88" t="s">
        <v>19</v>
      </c>
      <c r="F122" s="78">
        <f>+'State Component'!F122+'West Champaran'!F122+Vaishali!F122+Supaul!F122+Siwan!F122+Sitamarhi!F122+Sheohar!F122+Sheikhpura!F122+Saran!F122+Samastipur!F122+Saharsa!F122+Rohtas!F122+Purnia!F122+'Patna (U)'!F122+'Patna (R)'!F122+Nawada!F122+Nalanda!F122+Muzafferpur!F122+Munger!F122+Madhubani!F122+Madhepura!F122+Lakhisarai!F122+Kishanganj!F122+Khagaria!F122+Katihar!F122+Kaimur!F122+Jehanabad!F122+Jamui!F122+Gopalganj!F122+Gaya!F122+'East Champaran'!F122+Darbhanga!F122+Buxer!F122+Bhojpur!F122+Bhagalpur!F122+Begusarai!F122+Banka!F122+Aurangabad!F122+Arwal!F122+Araria!F122</f>
        <v>161.1</v>
      </c>
      <c r="G122" s="301"/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3"/>
      <c r="S122" s="3"/>
      <c r="T122" s="3"/>
      <c r="U122" s="3"/>
    </row>
    <row r="123" spans="1:21">
      <c r="A123" s="261" t="s">
        <v>69</v>
      </c>
      <c r="B123" s="261"/>
      <c r="C123" s="40"/>
      <c r="D123" s="79">
        <f>D121</f>
        <v>537</v>
      </c>
      <c r="E123" s="87"/>
      <c r="F123" s="73">
        <f>SUM(F121:F122)</f>
        <v>429.6</v>
      </c>
      <c r="G123" s="244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6"/>
      <c r="S123" s="3"/>
      <c r="T123" s="3"/>
      <c r="U123" s="3"/>
    </row>
    <row r="124" spans="1:21">
      <c r="A124" s="43">
        <v>14</v>
      </c>
      <c r="B124" s="4" t="s">
        <v>55</v>
      </c>
      <c r="C124" s="4" t="s">
        <v>51</v>
      </c>
      <c r="D124" s="69">
        <f>+'State Component'!D124+'West Champaran'!D124+Vaishali!D124+Supaul!D124+Siwan!D124+Sitamarhi!D124+Sheohar!D124+Sheikhpura!D124+Saran!D124+Samastipur!D124+Saharsa!D124+Rohtas!D124+Purnia!D124+'Patna (U)'!D124+'Patna (R)'!D124+Nawada!D124+Nalanda!D124+Muzafferpur!D124+Munger!D124+Madhubani!D124+Madhepura!D124+Lakhisarai!D124+Kishanganj!D124+Khagaria!D124+Katihar!D124+Kaimur!D124+Jehanabad!D124+Jamui!D124+Gopalganj!D124+Gaya!D124+'East Champaran'!D124+Darbhanga!D124+Buxer!D124+Bhojpur!D124+Begusarai!D124+Bhagalpur!D124+Banka!D124+Aurangabad!D124+Arwal!D124+Araria!D124</f>
        <v>5755</v>
      </c>
      <c r="E124" s="88" t="s">
        <v>19</v>
      </c>
      <c r="F124" s="78">
        <f>+'State Component'!F124+'West Champaran'!F124+Vaishali!F124+Supaul!F124+Siwan!F124+Sitamarhi!F124+Sheohar!F124+Sheikhpura!F124+Saran!F124+Samastipur!F124+Saharsa!F124+Rohtas!F124+Purnia!F124+'Patna (U)'!F124+'Patna (R)'!F124+Nawada!F124+Nalanda!F124+Muzafferpur!F124+Munger!F124+Madhubani!F124+Madhepura!F124+Lakhisarai!F124+Kishanganj!F124+Khagaria!F124+Katihar!F124+Kaimur!F124+Jehanabad!F124+Jamui!F124+Gopalganj!F124+Gaya!F124+'East Champaran'!F124+Darbhanga!F124+Buxer!F124+Bhojpur!F124+Bhagalpur!F124+Begusarai!F124+Banka!F124+Aurangabad!F124+Arwal!F124+Araria!F124</f>
        <v>575.5</v>
      </c>
      <c r="G124" s="277" t="s">
        <v>190</v>
      </c>
      <c r="H124" s="299"/>
      <c r="I124" s="299"/>
      <c r="J124" s="299"/>
      <c r="K124" s="299"/>
      <c r="L124" s="299"/>
      <c r="M124" s="299"/>
      <c r="N124" s="299"/>
      <c r="O124" s="299"/>
      <c r="P124" s="299"/>
      <c r="Q124" s="299"/>
      <c r="R124" s="300"/>
      <c r="S124" s="3"/>
      <c r="T124" s="3"/>
      <c r="U124" s="3"/>
    </row>
    <row r="125" spans="1:21">
      <c r="A125" s="43"/>
      <c r="B125" s="4" t="s">
        <v>54</v>
      </c>
      <c r="C125" s="4" t="s">
        <v>51</v>
      </c>
      <c r="D125" s="69">
        <f>+'State Component'!D125+'West Champaran'!D125+Vaishali!D125+Supaul!D125+Siwan!D125+Sitamarhi!D125+Sheohar!D125+Sheikhpura!D125+Saran!D125+Samastipur!D125+Saharsa!D125+Rohtas!D125+Purnia!D125+'Patna (U)'!D125+'Patna (R)'!D125+Nawada!D125+Nalanda!D125+Muzafferpur!D125+Munger!D125+Madhubani!D125+Madhepura!D125+Lakhisarai!D125+Kishanganj!D125+Khagaria!D125+Katihar!D125+Kaimur!D125+Jehanabad!D125+Jamui!D125+Gopalganj!D125+Gaya!D125+'East Champaran'!D125+Darbhanga!D125+Buxer!D125+Bhojpur!D125+Begusarai!D125+Bhagalpur!D125+Banka!D125+Aurangabad!D125+Arwal!D125+Araria!D125</f>
        <v>5755</v>
      </c>
      <c r="E125" s="88" t="s">
        <v>19</v>
      </c>
      <c r="F125" s="78">
        <f>+'State Component'!F125+'West Champaran'!F125+Vaishali!F125+Supaul!F125+Siwan!F125+Sitamarhi!F125+Sheohar!F125+Sheikhpura!F125+Saran!F125+Samastipur!F125+Saharsa!F125+Rohtas!F125+Purnia!F125+'Patna (U)'!F125+'Patna (R)'!F125+Nawada!F125+Nalanda!F125+Muzafferpur!F125+Munger!F125+Madhubani!F125+Madhepura!F125+Lakhisarai!F125+Kishanganj!F125+Khagaria!F125+Katihar!F125+Kaimur!F125+Jehanabad!F125+Jamui!F125+Gopalganj!F125+Gaya!F125+'East Champaran'!F125+Darbhanga!F125+Buxer!F125+Bhojpur!F125+Bhagalpur!F125+Begusarai!F125+Banka!F125+Aurangabad!F125+Arwal!F125+Araria!F125</f>
        <v>690.6</v>
      </c>
      <c r="G125" s="301"/>
      <c r="H125" s="302"/>
      <c r="I125" s="302"/>
      <c r="J125" s="302"/>
      <c r="K125" s="302"/>
      <c r="L125" s="302"/>
      <c r="M125" s="302"/>
      <c r="N125" s="302"/>
      <c r="O125" s="302"/>
      <c r="P125" s="302"/>
      <c r="Q125" s="302"/>
      <c r="R125" s="303"/>
      <c r="S125" s="3"/>
      <c r="T125" s="3"/>
      <c r="U125" s="3"/>
    </row>
    <row r="126" spans="1:21">
      <c r="A126" s="261" t="s">
        <v>69</v>
      </c>
      <c r="B126" s="261"/>
      <c r="C126" s="40"/>
      <c r="D126" s="12">
        <f>D124</f>
        <v>5755</v>
      </c>
      <c r="E126" s="40"/>
      <c r="F126" s="27">
        <f>SUM(F124:F125)</f>
        <v>1266.0999999999999</v>
      </c>
      <c r="G126" s="244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6"/>
      <c r="S126" s="3"/>
      <c r="T126" s="3"/>
      <c r="U126" s="3"/>
    </row>
    <row r="127" spans="1:21">
      <c r="A127" s="40">
        <v>15</v>
      </c>
      <c r="B127" s="40" t="s">
        <v>117</v>
      </c>
      <c r="C127" s="40"/>
      <c r="D127" s="12"/>
      <c r="E127" s="40"/>
      <c r="F127" s="27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3"/>
      <c r="T127" s="3"/>
      <c r="U127" s="3"/>
    </row>
    <row r="128" spans="1:21" ht="30">
      <c r="A128" s="43"/>
      <c r="B128" s="35" t="s">
        <v>118</v>
      </c>
      <c r="C128" s="39" t="s">
        <v>50</v>
      </c>
      <c r="D128" s="16">
        <f>+'State Component'!D128+'West Champaran'!D128+Vaishali!D128+Supaul!D128+Siwan!D128+Sitamarhi!D128+Sheohar!D128+Sheikhpura!D128+Saran!D128+Samastipur!D128+Saharsa!D128+Rohtas!D128+Purnia!D128+'Patna (U)'!D128+'Patna (R)'!D128+Nawada!D128+Nalanda!D128+Muzafferpur!D128+Munger!D128+Madhubani!D128+Madhepura!D128+Lakhisarai!D128+Kishanganj!D128+Khagaria!D128+Katihar!D128+Kaimur!D128+Jehanabad!D128+Jamui!D128+Gopalganj!D128+Gaya!D128+'East Champaran'!D128+Darbhanga!D128+Buxer!D128+Bhojpur!D128+Begusarai!D128+Bhagalpur!D128+Banka!D128+Aurangabad!D128+Arwal!D128+Araria!D128</f>
        <v>0</v>
      </c>
      <c r="E128" s="39" t="s">
        <v>26</v>
      </c>
      <c r="F128" s="32">
        <f>+'State Component'!F128+'West Champaran'!F128+Vaishali!F128+Supaul!F128+Siwan!F128+Sitamarhi!F128+Sheohar!F128+Sheikhpura!F128+Saran!F128+Samastipur!F128+Saharsa!F128+Rohtas!F128+Purnia!F128+'Patna (U)'!F128+'Patna (R)'!F128+Nawada!F128+Nalanda!F128+Muzafferpur!F128+Munger!F128+Madhubani!F128+Madhepura!F128+Lakhisarai!F128+Kishanganj!F128+Khagaria!F128+Katihar!F128+Kaimur!F128+Jehanabad!F128+Jamui!F128+Gopalganj!F128+Gaya!F128+'East Champaran'!F128+Darbhanga!F128+Buxer!F128+Bhojpur!F128+Bhagalpur!F128+Begusarai!F128+Banka!F128+Aurangabad!F128+Arwal!F128+Araria!F128</f>
        <v>0</v>
      </c>
      <c r="G128" s="21"/>
      <c r="H128" s="21"/>
      <c r="I128" s="21"/>
      <c r="J128" s="21"/>
      <c r="K128" s="21"/>
      <c r="L128" s="21"/>
      <c r="M128" s="42"/>
      <c r="N128" s="21"/>
      <c r="O128" s="21"/>
      <c r="P128" s="21"/>
      <c r="Q128" s="21"/>
      <c r="R128" s="21"/>
      <c r="S128" s="3"/>
      <c r="T128" s="3"/>
      <c r="U128" s="3"/>
    </row>
    <row r="129" spans="1:21" ht="30">
      <c r="A129" s="43"/>
      <c r="B129" s="35" t="s">
        <v>119</v>
      </c>
      <c r="C129" s="39" t="s">
        <v>50</v>
      </c>
      <c r="D129" s="16">
        <f>+'State Component'!D129+'West Champaran'!D129+Vaishali!D129+Supaul!D129+Siwan!D129+Sitamarhi!D129+Sheohar!D129+Sheikhpura!D129+Saran!D129+Samastipur!D129+Saharsa!D129+Rohtas!D129+Purnia!D129+'Patna (U)'!D129+'Patna (R)'!D129+Nawada!D129+Nalanda!D129+Muzafferpur!D129+Munger!D129+Madhubani!D129+Madhepura!D129+Lakhisarai!D129+Kishanganj!D129+Khagaria!D129+Katihar!D129+Kaimur!D129+Jehanabad!D129+Jamui!D129+Gopalganj!D129+Gaya!D129+'East Champaran'!D129+Darbhanga!D129+Buxer!D129+Bhojpur!D129+Begusarai!D129+Bhagalpur!D129+Banka!D129+Aurangabad!D129+Arwal!D129+Araria!D129</f>
        <v>0</v>
      </c>
      <c r="E129" s="39" t="s">
        <v>26</v>
      </c>
      <c r="F129" s="32">
        <f>+'State Component'!F129+'West Champaran'!F129+Vaishali!F129+Supaul!F129+Siwan!F129+Sitamarhi!F129+Sheohar!F129+Sheikhpura!F129+Saran!F129+Samastipur!F129+Saharsa!F129+Rohtas!F129+Purnia!F129+'Patna (U)'!F129+'Patna (R)'!F129+Nawada!F129+Nalanda!F129+Muzafferpur!F129+Munger!F129+Madhubani!F129+Madhepura!F129+Lakhisarai!F129+Kishanganj!F129+Khagaria!F129+Katihar!F129+Kaimur!F129+Jehanabad!F129+Jamui!F129+Gopalganj!F129+Gaya!F129+'East Champaran'!F129+Darbhanga!F129+Buxer!F129+Bhojpur!F129+Bhagalpur!F129+Begusarai!F129+Banka!F129+Aurangabad!F129+Arwal!F129+Araria!F129</f>
        <v>0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3"/>
      <c r="T129" s="3"/>
      <c r="U129" s="3"/>
    </row>
    <row r="130" spans="1:21">
      <c r="A130" s="261" t="s">
        <v>69</v>
      </c>
      <c r="B130" s="261"/>
      <c r="C130" s="40"/>
      <c r="D130" s="12">
        <f>D128</f>
        <v>0</v>
      </c>
      <c r="E130" s="40"/>
      <c r="F130" s="27">
        <f>SUM(F128:F129)</f>
        <v>0</v>
      </c>
      <c r="G130" s="244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6"/>
      <c r="S130" s="3"/>
      <c r="T130" s="3"/>
      <c r="U130" s="3"/>
    </row>
    <row r="131" spans="1:21">
      <c r="A131" s="40">
        <v>16</v>
      </c>
      <c r="B131" s="40" t="s">
        <v>74</v>
      </c>
      <c r="C131" s="39"/>
      <c r="D131" s="40"/>
      <c r="E131" s="39"/>
      <c r="F131" s="27"/>
      <c r="G131" s="244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6"/>
      <c r="S131" s="3"/>
      <c r="T131" s="3"/>
      <c r="U131" s="3"/>
    </row>
    <row r="132" spans="1:21">
      <c r="A132" s="262"/>
      <c r="B132" s="263" t="s">
        <v>22</v>
      </c>
      <c r="C132" s="44" t="s">
        <v>37</v>
      </c>
      <c r="D132" s="16">
        <f>+'State Component'!D132+'West Champaran'!D132+Vaishali!D132+Supaul!D132+Siwan!D132+Sitamarhi!D132+Sheohar!D132+Sheikhpura!D132+Saran!D132+Samastipur!D132+Saharsa!D132+Rohtas!D132+Purnia!D132+'Patna (U)'!D132+'Patna (R)'!D132+Nawada!D132+Nalanda!D132+Muzafferpur!D132+Munger!D132+Madhubani!D132+Madhepura!D132+Lakhisarai!D132+Kishanganj!D132+Khagaria!D132+Katihar!D132+Kaimur!D132+Jehanabad!D132+Jamui!D132+Gopalganj!D132+Gaya!D132+'East Champaran'!D132+Darbhanga!D132+Buxer!D132+Bhojpur!D132+Begusarai!D132+Bhagalpur!D132+Banka!D132+Aurangabad!D132+Arwal!D132+Araria!D132</f>
        <v>0</v>
      </c>
      <c r="E132" s="43" t="s">
        <v>19</v>
      </c>
      <c r="F132" s="32">
        <f>+'State Component'!F132+'West Champaran'!F132+Vaishali!F132+Supaul!F132+Siwan!F132+Sitamarhi!F132+Sheohar!F132+Sheikhpura!F132+Saran!F132+Samastipur!F132+Saharsa!F132+Rohtas!F132+Purnia!F132+'Patna (U)'!F132+'Patna (R)'!F132+Nawada!F132+Nalanda!F132+Muzafferpur!F132+Munger!F132+Madhubani!F132+Madhepura!F132+Lakhisarai!F132+Kishanganj!F132+Khagaria!F132+Katihar!F132+Kaimur!F132+Jehanabad!F132+Jamui!F132+Gopalganj!F132+Gaya!F132+'East Champaran'!F132+Darbhanga!F132+Buxer!F132+Bhojpur!F132+Bhagalpur!F132+Begusarai!F132+Banka!F132+Aurangabad!F132+Arwal!F132+Araria!F132</f>
        <v>0</v>
      </c>
      <c r="G132" s="277" t="s">
        <v>190</v>
      </c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9"/>
      <c r="S132" s="3"/>
      <c r="T132" s="3"/>
      <c r="U132" s="3"/>
    </row>
    <row r="133" spans="1:21">
      <c r="A133" s="262"/>
      <c r="B133" s="263"/>
      <c r="C133" s="44" t="s">
        <v>42</v>
      </c>
      <c r="D133" s="16">
        <f>+'State Component'!D133+'West Champaran'!D133+Vaishali!D133+Supaul!D133+Siwan!D133+Sitamarhi!D133+Sheohar!D133+Sheikhpura!D133+Saran!D133+Samastipur!D133+Saharsa!D133+Rohtas!D133+Purnia!D133+'Patna (U)'!D133+'Patna (R)'!D133+Nawada!D133+Nalanda!D133+Muzafferpur!D133+Munger!D133+Madhubani!D133+Madhepura!D133+Lakhisarai!D133+Kishanganj!D133+Khagaria!D133+Katihar!D133+Kaimur!D133+Jehanabad!D133+Jamui!D133+Gopalganj!D133+Gaya!D133+'East Champaran'!D133+Darbhanga!D133+Buxer!D133+Bhojpur!D133+Begusarai!D133+Bhagalpur!D133+Banka!D133+Aurangabad!D133+Arwal!D133+Araria!D133</f>
        <v>32184</v>
      </c>
      <c r="E133" s="43" t="s">
        <v>21</v>
      </c>
      <c r="F133" s="32">
        <f>+'State Component'!F133+'West Champaran'!F133+Vaishali!F133+Supaul!F133+Siwan!F133+Sitamarhi!F133+Sheohar!F133+Sheikhpura!F133+Saran!F133+Samastipur!F133+Saharsa!F133+Rohtas!F133+Purnia!F133+'Patna (U)'!F133+'Patna (R)'!F133+Nawada!F133+Nalanda!F133+Muzafferpur!F133+Munger!F133+Madhubani!F133+Madhepura!F133+Lakhisarai!F133+Kishanganj!F133+Khagaria!F133+Katihar!F133+Kaimur!F133+Jehanabad!F133+Jamui!F133+Gopalganj!F133+Gaya!F133+'East Champaran'!F133+Darbhanga!F133+Buxer!F133+Bhojpur!F133+Bhagalpur!F133+Begusarai!F133+Banka!F133+Aurangabad!F133+Arwal!F133+Araria!F133</f>
        <v>965.51999999999987</v>
      </c>
      <c r="G133" s="283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5"/>
      <c r="S133" s="3"/>
      <c r="T133" s="3"/>
      <c r="U133" s="3"/>
    </row>
    <row r="134" spans="1:21">
      <c r="A134" s="261" t="s">
        <v>69</v>
      </c>
      <c r="B134" s="261"/>
      <c r="C134" s="40"/>
      <c r="D134" s="79">
        <f>D132+D133</f>
        <v>32184</v>
      </c>
      <c r="E134" s="96"/>
      <c r="F134" s="73">
        <f>F133+F132</f>
        <v>965.51999999999987</v>
      </c>
      <c r="G134" s="244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6"/>
      <c r="S134" s="3"/>
      <c r="T134" s="3"/>
      <c r="U134" s="3"/>
    </row>
    <row r="135" spans="1:21">
      <c r="A135" s="40">
        <v>17</v>
      </c>
      <c r="B135" s="40" t="s">
        <v>70</v>
      </c>
      <c r="C135" s="40"/>
      <c r="D135" s="40"/>
      <c r="E135" s="40"/>
      <c r="F135" s="27"/>
      <c r="G135" s="244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6"/>
      <c r="S135" s="3"/>
      <c r="T135" s="3"/>
      <c r="U135" s="3"/>
    </row>
    <row r="136" spans="1:21">
      <c r="A136" s="39"/>
      <c r="B136" s="15" t="s">
        <v>75</v>
      </c>
      <c r="C136" s="15" t="s">
        <v>42</v>
      </c>
      <c r="D136" s="16">
        <f>+'State Component'!D136+'West Champaran'!D136+Vaishali!D136+Supaul!D136+Siwan!D136+Sitamarhi!D136+Sheohar!D136+Sheikhpura!D136+Saran!D136+Samastipur!D136+Saharsa!D136+Rohtas!D136+Purnia!D136+'Patna (U)'!D136+'Patna (R)'!D136+Nawada!D136+Nalanda!D136+Muzafferpur!D136+Munger!D136+Madhubani!D136+Madhepura!D136+Lakhisarai!D136+Kishanganj!D136+Khagaria!D136+Katihar!D136+Kaimur!D136+Jehanabad!D136+Jamui!D136+Gopalganj!D136+Gaya!D136+'East Champaran'!D136+Darbhanga!D136+Buxer!D136+Bhojpur!D136+Begusarai!D136+Bhagalpur!D136+Banka!D136+Aurangabad!D136+Arwal!D136+Araria!D136</f>
        <v>286</v>
      </c>
      <c r="E136" s="43" t="s">
        <v>19</v>
      </c>
      <c r="F136" s="32">
        <f>+'State Component'!F136+'West Champaran'!F136+Vaishali!F136+Supaul!F136+Siwan!F136+Sitamarhi!F136+Sheohar!F136+Sheikhpura!F136+Saran!F136+Samastipur!F136+Saharsa!F136+Rohtas!F136+Purnia!F136+'Patna (U)'!F136+'Patna (R)'!F136+Nawada!F136+Nalanda!F136+Muzafferpur!F136+Munger!F136+Madhubani!F136+Madhepura!F136+Lakhisarai!F136+Kishanganj!F136+Khagaria!F136+Katihar!F136+Kaimur!F136+Jehanabad!F136+Jamui!F136+Gopalganj!F136+Gaya!F136+'East Champaran'!F136+Darbhanga!F136+Buxer!F136+Bhojpur!F136+Bhagalpur!F136+Begusarai!F136+Banka!F136+Aurangabad!F136+Arwal!F136+Araria!F136</f>
        <v>671.4129999999999</v>
      </c>
      <c r="G136" s="277" t="s">
        <v>190</v>
      </c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9"/>
      <c r="S136" s="3"/>
      <c r="T136" s="3"/>
      <c r="U136" s="3"/>
    </row>
    <row r="137" spans="1:21">
      <c r="A137" s="39"/>
      <c r="B137" s="15" t="s">
        <v>76</v>
      </c>
      <c r="C137" s="15" t="s">
        <v>42</v>
      </c>
      <c r="D137" s="16">
        <f>+'State Component'!D137+'West Champaran'!D137+Vaishali!D137+Supaul!D137+Siwan!D137+Sitamarhi!D137+Sheohar!D137+Sheikhpura!D137+Saran!D137+Samastipur!D137+Saharsa!D137+Rohtas!D137+Purnia!D137+'Patna (U)'!D137+'Patna (R)'!D137+Nawada!D137+Nalanda!D137+Muzafferpur!D137+Munger!D137+Madhubani!D137+Madhepura!D137+Lakhisarai!D137+Kishanganj!D137+Khagaria!D137+Katihar!D137+Kaimur!D137+Jehanabad!D137+Jamui!D137+Gopalganj!D137+Gaya!D137+'East Champaran'!D137+Darbhanga!D137+Buxer!D137+Bhojpur!D137+Begusarai!D137+Bhagalpur!D137+Banka!D137+Aurangabad!D137+Arwal!D137+Araria!D137</f>
        <v>535</v>
      </c>
      <c r="E137" s="43" t="s">
        <v>19</v>
      </c>
      <c r="F137" s="166">
        <f>+'State Component'!F137+'West Champaran'!F137+Vaishali!F137+Supaul!F137+Siwan!F137+Sitamarhi!F137+Sheohar!F137+Sheikhpura!F137+Saran!F137+Samastipur!F137+Saharsa!F137+Rohtas!F137+Purnia!F137+'Patna (U)'!F137+'Patna (R)'!F137+Nawada!F137+Nalanda!F137+Muzafferpur!F137+Munger!F137+Madhubani!F137+Madhepura!F137+Lakhisarai!F137+Kishanganj!F137+Khagaria!F137+Katihar!F137+Kaimur!F137+Jehanabad!F137+Jamui!F137+Gopalganj!F137+Gaya!F137+'East Champaran'!F137+Darbhanga!F137+Buxer!F137+Bhojpur!F137+Bhagalpur!F137+Begusarai!F137+Banka!F137+Aurangabad!F137+Arwal!F137+Araria!F137</f>
        <v>10298.25</v>
      </c>
      <c r="G137" s="280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2"/>
      <c r="S137" s="3"/>
      <c r="T137" s="3"/>
      <c r="U137" s="3"/>
    </row>
    <row r="138" spans="1:21">
      <c r="A138" s="39"/>
      <c r="B138" s="15" t="s">
        <v>96</v>
      </c>
      <c r="C138" s="15" t="s">
        <v>42</v>
      </c>
      <c r="D138" s="16">
        <f>+'State Component'!D138+'West Champaran'!D138+Vaishali!D138+Supaul!D138+Siwan!D138+Sitamarhi!D138+Sheohar!D138+Sheikhpura!D138+Saran!D138+Samastipur!D138+Saharsa!D138+Rohtas!D138+Purnia!D138+'Patna (U)'!D138+'Patna (R)'!D138+Nawada!D138+Nalanda!D138+Muzafferpur!D138+Munger!D138+Madhubani!D138+Madhepura!D138+Lakhisarai!D138+Kishanganj!D138+Khagaria!D138+Katihar!D138+Kaimur!D138+Jehanabad!D138+Jamui!D138+Gopalganj!D138+Gaya!D138+'East Champaran'!D138+Darbhanga!D138+Buxer!D138+Bhojpur!D138+Begusarai!D138+Bhagalpur!D138+Banka!D138+Aurangabad!D138+Arwal!D138+Araria!D138</f>
        <v>535</v>
      </c>
      <c r="E138" s="43" t="s">
        <v>19</v>
      </c>
      <c r="F138" s="32">
        <f>+'State Component'!F138+'West Champaran'!F138+Vaishali!F138+Supaul!F138+Siwan!F138+Sitamarhi!F138+Sheohar!F138+Sheikhpura!F138+Saran!F138+Samastipur!F138+Saharsa!F138+Rohtas!F138+Purnia!F138+'Patna (U)'!F138+'Patna (R)'!F138+Nawada!F138+Nalanda!F138+Muzafferpur!F138+Munger!F138+Madhubani!F138+Madhepura!F138+Lakhisarai!F138+Kishanganj!F138+Khagaria!F138+Katihar!F138+Kaimur!F138+Jehanabad!F138+Jamui!F138+Gopalganj!F138+Gaya!F138+'East Champaran'!F138+Darbhanga!F138+Buxer!F138+Bhojpur!F138+Bhagalpur!F138+Begusarai!F138+Banka!F138+Aurangabad!F138+Arwal!F138+Araria!F138</f>
        <v>535</v>
      </c>
      <c r="G138" s="283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5"/>
      <c r="S138" s="3"/>
      <c r="T138" s="3"/>
      <c r="U138" s="3"/>
    </row>
    <row r="139" spans="1:21">
      <c r="A139" s="261" t="s">
        <v>69</v>
      </c>
      <c r="B139" s="261"/>
      <c r="C139" s="40"/>
      <c r="D139" s="12">
        <f>SUM(D136:D138)</f>
        <v>1356</v>
      </c>
      <c r="E139" s="40"/>
      <c r="F139" s="27">
        <f>SUM(F136:F138)</f>
        <v>11504.663</v>
      </c>
      <c r="G139" s="244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6"/>
      <c r="S139" s="3"/>
      <c r="T139" s="3"/>
      <c r="U139" s="3"/>
    </row>
    <row r="140" spans="1:21" ht="15.75">
      <c r="A140" s="243" t="s">
        <v>85</v>
      </c>
      <c r="B140" s="243"/>
      <c r="C140" s="47"/>
      <c r="D140" s="51">
        <f>D10+D64+D68+D82+D90+D95+D98+D101+D103+D110+D116+D120+D123+D126+D130+D134+D139</f>
        <v>50268582</v>
      </c>
      <c r="E140" s="47"/>
      <c r="F140" s="167">
        <f>F10+F64+F68+F82+F90+F95+F98+F101+F103+F110+F116+F120+F123+F126+F130+F134+F139</f>
        <v>105900.84196127042</v>
      </c>
      <c r="G140" s="244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6"/>
      <c r="S140" s="3"/>
      <c r="T140" s="3"/>
      <c r="U140" s="3"/>
    </row>
    <row r="141" spans="1:21" ht="15.75" thickBot="1">
      <c r="A141" s="247"/>
      <c r="B141" s="247"/>
      <c r="C141" s="247"/>
      <c r="D141" s="247"/>
      <c r="E141" s="248"/>
      <c r="F141" s="248"/>
      <c r="G141" s="248"/>
      <c r="H141" s="248"/>
      <c r="I141" s="248"/>
      <c r="J141" s="248"/>
      <c r="K141" s="249"/>
      <c r="L141" s="249"/>
      <c r="M141" s="249"/>
      <c r="N141" s="249"/>
      <c r="O141" s="249"/>
      <c r="P141" s="249"/>
      <c r="Q141" s="249"/>
    </row>
    <row r="142" spans="1:21" ht="18.75">
      <c r="A142" s="250" t="s">
        <v>2</v>
      </c>
      <c r="B142" s="251"/>
      <c r="C142" s="252"/>
      <c r="D142" s="253"/>
      <c r="E142" s="248"/>
      <c r="F142" s="248"/>
      <c r="G142" s="248"/>
      <c r="H142" s="248"/>
      <c r="I142" s="248"/>
      <c r="J142" s="248"/>
      <c r="K142" s="254" t="s">
        <v>24</v>
      </c>
      <c r="L142" s="255"/>
      <c r="M142" s="255"/>
      <c r="N142" s="255"/>
      <c r="O142" s="255"/>
      <c r="P142" s="255"/>
      <c r="Q142" s="256"/>
    </row>
    <row r="143" spans="1:21" ht="18.75">
      <c r="A143" s="257" t="s">
        <v>25</v>
      </c>
      <c r="B143" s="258"/>
      <c r="C143" s="259"/>
      <c r="D143" s="260"/>
      <c r="E143" s="248"/>
      <c r="F143" s="248"/>
      <c r="G143" s="248"/>
      <c r="H143" s="248"/>
      <c r="I143" s="248"/>
      <c r="J143" s="248"/>
      <c r="K143" s="233" t="s">
        <v>29</v>
      </c>
      <c r="L143" s="234"/>
      <c r="M143" s="234"/>
      <c r="N143" s="234"/>
      <c r="O143" s="234"/>
      <c r="P143" s="234"/>
      <c r="Q143" s="235"/>
    </row>
    <row r="144" spans="1:21" ht="18.75">
      <c r="A144" s="257" t="s">
        <v>26</v>
      </c>
      <c r="B144" s="258"/>
      <c r="C144" s="259"/>
      <c r="D144" s="260"/>
      <c r="E144" s="248"/>
      <c r="F144" s="248"/>
      <c r="G144" s="248"/>
      <c r="H144" s="248"/>
      <c r="I144" s="248"/>
      <c r="J144" s="248"/>
      <c r="K144" s="233" t="s">
        <v>30</v>
      </c>
      <c r="L144" s="234"/>
      <c r="M144" s="234"/>
      <c r="N144" s="234"/>
      <c r="O144" s="234"/>
      <c r="P144" s="234"/>
      <c r="Q144" s="235"/>
    </row>
    <row r="145" spans="1:17" ht="18.75">
      <c r="A145" s="257" t="s">
        <v>21</v>
      </c>
      <c r="B145" s="258"/>
      <c r="C145" s="259"/>
      <c r="D145" s="260"/>
      <c r="E145" s="248"/>
      <c r="F145" s="248"/>
      <c r="G145" s="248"/>
      <c r="H145" s="248"/>
      <c r="I145" s="248"/>
      <c r="J145" s="248"/>
      <c r="K145" s="233" t="s">
        <v>31</v>
      </c>
      <c r="L145" s="234"/>
      <c r="M145" s="234"/>
      <c r="N145" s="234"/>
      <c r="O145" s="234"/>
      <c r="P145" s="234"/>
      <c r="Q145" s="235"/>
    </row>
    <row r="146" spans="1:17" ht="18.75">
      <c r="A146" s="257" t="s">
        <v>19</v>
      </c>
      <c r="B146" s="258"/>
      <c r="C146" s="259"/>
      <c r="D146" s="260"/>
      <c r="E146" s="248"/>
      <c r="F146" s="248"/>
      <c r="G146" s="248"/>
      <c r="H146" s="248"/>
      <c r="I146" s="248"/>
      <c r="J146" s="248"/>
      <c r="K146" s="233" t="s">
        <v>32</v>
      </c>
      <c r="L146" s="234"/>
      <c r="M146" s="234"/>
      <c r="N146" s="234"/>
      <c r="O146" s="234"/>
      <c r="P146" s="234"/>
      <c r="Q146" s="235"/>
    </row>
    <row r="147" spans="1:17" ht="18.75">
      <c r="A147" s="257" t="s">
        <v>27</v>
      </c>
      <c r="B147" s="258"/>
      <c r="C147" s="259"/>
      <c r="D147" s="260"/>
      <c r="E147" s="248"/>
      <c r="F147" s="248"/>
      <c r="G147" s="248"/>
      <c r="H147" s="248"/>
      <c r="I147" s="248"/>
      <c r="J147" s="248"/>
      <c r="K147" s="233" t="s">
        <v>33</v>
      </c>
      <c r="L147" s="234"/>
      <c r="M147" s="234"/>
      <c r="N147" s="234"/>
      <c r="O147" s="234"/>
      <c r="P147" s="234"/>
      <c r="Q147" s="235"/>
    </row>
    <row r="148" spans="1:17" ht="19.5" thickBot="1">
      <c r="A148" s="236" t="s">
        <v>28</v>
      </c>
      <c r="B148" s="237"/>
      <c r="C148" s="238"/>
      <c r="D148" s="239"/>
      <c r="E148" s="248"/>
      <c r="F148" s="248"/>
      <c r="G148" s="248"/>
      <c r="H148" s="248"/>
      <c r="I148" s="248"/>
      <c r="J148" s="248"/>
      <c r="K148" s="240" t="s">
        <v>34</v>
      </c>
      <c r="L148" s="241"/>
      <c r="M148" s="241"/>
      <c r="N148" s="241"/>
      <c r="O148" s="241"/>
      <c r="P148" s="241"/>
      <c r="Q148" s="242"/>
    </row>
    <row r="149" spans="1:17">
      <c r="A149" s="13"/>
    </row>
    <row r="150" spans="1:17">
      <c r="A150" s="13"/>
    </row>
    <row r="151" spans="1:17">
      <c r="A151" s="13"/>
    </row>
  </sheetData>
  <mergeCells count="125">
    <mergeCell ref="G7:R9"/>
    <mergeCell ref="G13:R15"/>
    <mergeCell ref="G17:R19"/>
    <mergeCell ref="G21:R23"/>
    <mergeCell ref="A1:R1"/>
    <mergeCell ref="A2:R2"/>
    <mergeCell ref="A4:A5"/>
    <mergeCell ref="B4:B5"/>
    <mergeCell ref="C4:C5"/>
    <mergeCell ref="D4:D5"/>
    <mergeCell ref="E4:E5"/>
    <mergeCell ref="F4:F5"/>
    <mergeCell ref="G4:R4"/>
    <mergeCell ref="G78:R78"/>
    <mergeCell ref="A81:B81"/>
    <mergeCell ref="A82:C82"/>
    <mergeCell ref="E84:E89"/>
    <mergeCell ref="G84:L84"/>
    <mergeCell ref="G85:R89"/>
    <mergeCell ref="A10:B10"/>
    <mergeCell ref="A12:A15"/>
    <mergeCell ref="A16:A19"/>
    <mergeCell ref="A20:A23"/>
    <mergeCell ref="A24:B24"/>
    <mergeCell ref="A25:A28"/>
    <mergeCell ref="A74:C74"/>
    <mergeCell ref="G74:R74"/>
    <mergeCell ref="A75:A77"/>
    <mergeCell ref="B75:B77"/>
    <mergeCell ref="E75:E77"/>
    <mergeCell ref="A29:A32"/>
    <mergeCell ref="A33:A36"/>
    <mergeCell ref="A37:B37"/>
    <mergeCell ref="A38:A41"/>
    <mergeCell ref="A42:A45"/>
    <mergeCell ref="A63:B63"/>
    <mergeCell ref="A69:A73"/>
    <mergeCell ref="B69:B73"/>
    <mergeCell ref="E69:E73"/>
    <mergeCell ref="A46:A49"/>
    <mergeCell ref="A50:B50"/>
    <mergeCell ref="A51:A54"/>
    <mergeCell ref="A55:A58"/>
    <mergeCell ref="A59:A62"/>
    <mergeCell ref="A78:C78"/>
    <mergeCell ref="G30:R32"/>
    <mergeCell ref="G34:R36"/>
    <mergeCell ref="A95:B95"/>
    <mergeCell ref="G95:R95"/>
    <mergeCell ref="A96:A97"/>
    <mergeCell ref="B96:B97"/>
    <mergeCell ref="E96:E97"/>
    <mergeCell ref="A90:B90"/>
    <mergeCell ref="G90:R90"/>
    <mergeCell ref="A91:A94"/>
    <mergeCell ref="B91:B94"/>
    <mergeCell ref="E91:E94"/>
    <mergeCell ref="G91:R94"/>
    <mergeCell ref="G39:R41"/>
    <mergeCell ref="G43:R45"/>
    <mergeCell ref="G47:R49"/>
    <mergeCell ref="G56:R58"/>
    <mergeCell ref="G60:R62"/>
    <mergeCell ref="G66:R67"/>
    <mergeCell ref="G69:R73"/>
    <mergeCell ref="G75:R77"/>
    <mergeCell ref="G79:R80"/>
    <mergeCell ref="A64:B64"/>
    <mergeCell ref="A68:B68"/>
    <mergeCell ref="A101:B101"/>
    <mergeCell ref="A103:B103"/>
    <mergeCell ref="C104:F104"/>
    <mergeCell ref="A110:B110"/>
    <mergeCell ref="G110:R110"/>
    <mergeCell ref="A98:B98"/>
    <mergeCell ref="G98:R98"/>
    <mergeCell ref="A99:A100"/>
    <mergeCell ref="B99:B100"/>
    <mergeCell ref="E99:E100"/>
    <mergeCell ref="G99:R100"/>
    <mergeCell ref="G102:R102"/>
    <mergeCell ref="G105:R109"/>
    <mergeCell ref="A121:A122"/>
    <mergeCell ref="A123:B123"/>
    <mergeCell ref="G123:R123"/>
    <mergeCell ref="A126:B126"/>
    <mergeCell ref="G126:R126"/>
    <mergeCell ref="A116:B116"/>
    <mergeCell ref="A120:B120"/>
    <mergeCell ref="G120:R120"/>
    <mergeCell ref="G112:R115"/>
    <mergeCell ref="G118:R119"/>
    <mergeCell ref="G121:R122"/>
    <mergeCell ref="G124:R125"/>
    <mergeCell ref="A134:B134"/>
    <mergeCell ref="G134:R134"/>
    <mergeCell ref="G135:R135"/>
    <mergeCell ref="A139:B139"/>
    <mergeCell ref="G139:R139"/>
    <mergeCell ref="A130:B130"/>
    <mergeCell ref="G130:R130"/>
    <mergeCell ref="G131:R131"/>
    <mergeCell ref="A132:A133"/>
    <mergeCell ref="B132:B133"/>
    <mergeCell ref="G132:R133"/>
    <mergeCell ref="G136:R138"/>
    <mergeCell ref="K147:Q147"/>
    <mergeCell ref="A148:D148"/>
    <mergeCell ref="K148:Q148"/>
    <mergeCell ref="A140:B140"/>
    <mergeCell ref="G140:R140"/>
    <mergeCell ref="A141:D141"/>
    <mergeCell ref="E141:J148"/>
    <mergeCell ref="K141:Q141"/>
    <mergeCell ref="A142:D142"/>
    <mergeCell ref="K142:Q142"/>
    <mergeCell ref="A143:D143"/>
    <mergeCell ref="K143:Q143"/>
    <mergeCell ref="A144:D144"/>
    <mergeCell ref="K144:Q144"/>
    <mergeCell ref="A145:D145"/>
    <mergeCell ref="K145:Q145"/>
    <mergeCell ref="A146:D146"/>
    <mergeCell ref="K146:Q146"/>
    <mergeCell ref="A147:D1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3" manualBreakCount="3">
    <brk id="37" max="17" man="1"/>
    <brk id="78" max="17" man="1"/>
    <brk id="11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78</vt:i4>
      </vt:variant>
    </vt:vector>
  </HeadingPairs>
  <TitlesOfParts>
    <vt:vector size="119" baseType="lpstr">
      <vt:lpstr>Araria</vt:lpstr>
      <vt:lpstr>Arwal</vt:lpstr>
      <vt:lpstr>Aurangabad</vt:lpstr>
      <vt:lpstr>Banka</vt:lpstr>
      <vt:lpstr>Begusarai</vt:lpstr>
      <vt:lpstr>Bhagalpur</vt:lpstr>
      <vt:lpstr>Bhojpur</vt:lpstr>
      <vt:lpstr>Buxer</vt:lpstr>
      <vt:lpstr>Darbhanga</vt:lpstr>
      <vt:lpstr>East Champaran</vt:lpstr>
      <vt:lpstr>Gaya</vt:lpstr>
      <vt:lpstr>Gopalganj</vt:lpstr>
      <vt:lpstr>Jamui</vt:lpstr>
      <vt:lpstr>Jehanabad</vt:lpstr>
      <vt:lpstr>Kaimur</vt:lpstr>
      <vt:lpstr>Katihar</vt:lpstr>
      <vt:lpstr>Khagaria</vt:lpstr>
      <vt:lpstr>Kishanganj</vt:lpstr>
      <vt:lpstr>Lakhisarai</vt:lpstr>
      <vt:lpstr>Madhepura</vt:lpstr>
      <vt:lpstr>Madhubani</vt:lpstr>
      <vt:lpstr>Munger</vt:lpstr>
      <vt:lpstr>Muzafferpur</vt:lpstr>
      <vt:lpstr>Nalanda</vt:lpstr>
      <vt:lpstr>Nawada</vt:lpstr>
      <vt:lpstr>Patna (R)</vt:lpstr>
      <vt:lpstr>Patna (U)</vt:lpstr>
      <vt:lpstr>Purnia</vt:lpstr>
      <vt:lpstr>Rohtas</vt:lpstr>
      <vt:lpstr>Saharsa</vt:lpstr>
      <vt:lpstr>Samastipur</vt:lpstr>
      <vt:lpstr>Saran</vt:lpstr>
      <vt:lpstr>Sheikhpura</vt:lpstr>
      <vt:lpstr>Sheohar</vt:lpstr>
      <vt:lpstr>Sitamarhi</vt:lpstr>
      <vt:lpstr>Siwan</vt:lpstr>
      <vt:lpstr>Supaul</vt:lpstr>
      <vt:lpstr>Vaishali</vt:lpstr>
      <vt:lpstr>West Champaran</vt:lpstr>
      <vt:lpstr>State Component</vt:lpstr>
      <vt:lpstr>State Total</vt:lpstr>
      <vt:lpstr>Araria!Print_Area</vt:lpstr>
      <vt:lpstr>Arwal!Print_Area</vt:lpstr>
      <vt:lpstr>Aurangabad!Print_Area</vt:lpstr>
      <vt:lpstr>Banka!Print_Area</vt:lpstr>
      <vt:lpstr>Bhagalpur!Print_Area</vt:lpstr>
      <vt:lpstr>Darbhanga!Print_Area</vt:lpstr>
      <vt:lpstr>'East Champaran'!Print_Area</vt:lpstr>
      <vt:lpstr>Gaya!Print_Area</vt:lpstr>
      <vt:lpstr>Gopalganj!Print_Area</vt:lpstr>
      <vt:lpstr>Jamui!Print_Area</vt:lpstr>
      <vt:lpstr>Jehanabad!Print_Area</vt:lpstr>
      <vt:lpstr>Kaimur!Print_Area</vt:lpstr>
      <vt:lpstr>Khagaria!Print_Area</vt:lpstr>
      <vt:lpstr>Kishanganj!Print_Area</vt:lpstr>
      <vt:lpstr>Lakhisarai!Print_Area</vt:lpstr>
      <vt:lpstr>Madhepura!Print_Area</vt:lpstr>
      <vt:lpstr>Madhubani!Print_Area</vt:lpstr>
      <vt:lpstr>Munger!Print_Area</vt:lpstr>
      <vt:lpstr>Muzafferpur!Print_Area</vt:lpstr>
      <vt:lpstr>Nalanda!Print_Area</vt:lpstr>
      <vt:lpstr>Nawada!Print_Area</vt:lpstr>
      <vt:lpstr>'Patna (R)'!Print_Area</vt:lpstr>
      <vt:lpstr>'Patna (U)'!Print_Area</vt:lpstr>
      <vt:lpstr>Purnia!Print_Area</vt:lpstr>
      <vt:lpstr>Rohtas!Print_Area</vt:lpstr>
      <vt:lpstr>Saharsa!Print_Area</vt:lpstr>
      <vt:lpstr>Samastipur!Print_Area</vt:lpstr>
      <vt:lpstr>Saran!Print_Area</vt:lpstr>
      <vt:lpstr>Sheikhpura!Print_Area</vt:lpstr>
      <vt:lpstr>Sheohar!Print_Area</vt:lpstr>
      <vt:lpstr>Sitamarhi!Print_Area</vt:lpstr>
      <vt:lpstr>Siwan!Print_Area</vt:lpstr>
      <vt:lpstr>'State Component'!Print_Area</vt:lpstr>
      <vt:lpstr>'State Total'!Print_Area</vt:lpstr>
      <vt:lpstr>Supaul!Print_Area</vt:lpstr>
      <vt:lpstr>Vaishali!Print_Area</vt:lpstr>
      <vt:lpstr>'West Champaran'!Print_Area</vt:lpstr>
      <vt:lpstr>Araria!Print_Titles</vt:lpstr>
      <vt:lpstr>Arwal!Print_Titles</vt:lpstr>
      <vt:lpstr>Aurangabad!Print_Titles</vt:lpstr>
      <vt:lpstr>Banka!Print_Titles</vt:lpstr>
      <vt:lpstr>Begusarai!Print_Titles</vt:lpstr>
      <vt:lpstr>Bhagalpur!Print_Titles</vt:lpstr>
      <vt:lpstr>Bhojpur!Print_Titles</vt:lpstr>
      <vt:lpstr>Buxer!Print_Titles</vt:lpstr>
      <vt:lpstr>Darbhanga!Print_Titles</vt:lpstr>
      <vt:lpstr>'East Champaran'!Print_Titles</vt:lpstr>
      <vt:lpstr>Gaya!Print_Titles</vt:lpstr>
      <vt:lpstr>Gopalganj!Print_Titles</vt:lpstr>
      <vt:lpstr>Jamui!Print_Titles</vt:lpstr>
      <vt:lpstr>Jehanabad!Print_Titles</vt:lpstr>
      <vt:lpstr>Kaimur!Print_Titles</vt:lpstr>
      <vt:lpstr>Katihar!Print_Titles</vt:lpstr>
      <vt:lpstr>Khagaria!Print_Titles</vt:lpstr>
      <vt:lpstr>Kishanganj!Print_Titles</vt:lpstr>
      <vt:lpstr>Lakhisarai!Print_Titles</vt:lpstr>
      <vt:lpstr>Madhepura!Print_Titles</vt:lpstr>
      <vt:lpstr>Madhubani!Print_Titles</vt:lpstr>
      <vt:lpstr>Munger!Print_Titles</vt:lpstr>
      <vt:lpstr>Muzafferpur!Print_Titles</vt:lpstr>
      <vt:lpstr>Nalanda!Print_Titles</vt:lpstr>
      <vt:lpstr>Nawada!Print_Titles</vt:lpstr>
      <vt:lpstr>'Patna (R)'!Print_Titles</vt:lpstr>
      <vt:lpstr>'Patna (U)'!Print_Titles</vt:lpstr>
      <vt:lpstr>Purnia!Print_Titles</vt:lpstr>
      <vt:lpstr>Rohtas!Print_Titles</vt:lpstr>
      <vt:lpstr>Saharsa!Print_Titles</vt:lpstr>
      <vt:lpstr>Samastipur!Print_Titles</vt:lpstr>
      <vt:lpstr>Saran!Print_Titles</vt:lpstr>
      <vt:lpstr>Sheikhpura!Print_Titles</vt:lpstr>
      <vt:lpstr>Sheohar!Print_Titles</vt:lpstr>
      <vt:lpstr>Sitamarhi!Print_Titles</vt:lpstr>
      <vt:lpstr>Siwan!Print_Titles</vt:lpstr>
      <vt:lpstr>'State Component'!Print_Titles</vt:lpstr>
      <vt:lpstr>'State Total'!Print_Titles</vt:lpstr>
      <vt:lpstr>Supaul!Print_Titles</vt:lpstr>
      <vt:lpstr>Vaishali!Print_Titles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2014-08-19T11:05:40Z</cp:lastPrinted>
  <dcterms:created xsi:type="dcterms:W3CDTF">2013-09-22T07:40:38Z</dcterms:created>
  <dcterms:modified xsi:type="dcterms:W3CDTF">2014-08-20T05:59:50Z</dcterms:modified>
</cp:coreProperties>
</file>